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5600" windowHeight="11640"/>
  </bookViews>
  <sheets>
    <sheet name="Zusammenzug" sheetId="4" r:id="rId1"/>
    <sheet name="Arbeitsprozess" sheetId="1" r:id="rId2"/>
    <sheet name="Dokumentation und Produktion" sheetId="2" r:id="rId3"/>
    <sheet name="Präsentation" sheetId="3" r:id="rId4"/>
  </sheets>
  <definedNames>
    <definedName name="_xlnm.Print_Area" localSheetId="1">Arbeitsprozess!$A$1:$F$40</definedName>
    <definedName name="_xlnm.Print_Area" localSheetId="2">'Dokumentation und Produktion'!$A$1:$F$51</definedName>
    <definedName name="_xlnm.Print_Area" localSheetId="3">Präsentation!$A$1:$F$41</definedName>
    <definedName name="_xlnm.Print_Area" localSheetId="0">Zusammenzug!$A$1:$F$32</definedName>
    <definedName name="_xlnm.Print_Titles" localSheetId="2">'Dokumentation und Produktion'!$8:$8</definedName>
  </definedNames>
  <calcPr calcId="145621"/>
</workbook>
</file>

<file path=xl/calcChain.xml><?xml version="1.0" encoding="utf-8"?>
<calcChain xmlns="http://schemas.openxmlformats.org/spreadsheetml/2006/main">
  <c r="F19" i="4" l="1"/>
  <c r="D19" i="4" l="1"/>
  <c r="D15" i="4"/>
  <c r="E18" i="1" l="1"/>
  <c r="F18" i="1" s="1"/>
  <c r="E17" i="2" l="1"/>
  <c r="E18" i="2"/>
  <c r="F6" i="1"/>
  <c r="A1" i="3" l="1"/>
  <c r="A1" i="2"/>
  <c r="A1" i="1"/>
  <c r="F17" i="2"/>
  <c r="F18" i="2"/>
  <c r="C26" i="3" l="1"/>
  <c r="E12" i="3"/>
  <c r="F12" i="3" s="1"/>
  <c r="E33" i="3"/>
  <c r="F33" i="3" s="1"/>
  <c r="C27" i="2"/>
  <c r="E14" i="2"/>
  <c r="F14" i="2" s="1"/>
  <c r="E13" i="2"/>
  <c r="E36" i="2"/>
  <c r="E13" i="3"/>
  <c r="F13" i="3" s="1"/>
  <c r="C39" i="3"/>
  <c r="C49" i="2"/>
  <c r="C38" i="1"/>
  <c r="E12" i="1"/>
  <c r="F12" i="1" s="1"/>
  <c r="E37" i="2"/>
  <c r="F37" i="2" s="1"/>
  <c r="E38" i="2"/>
  <c r="F38" i="2" s="1"/>
  <c r="E39" i="2"/>
  <c r="F39" i="2" s="1"/>
  <c r="E43" i="2"/>
  <c r="F43" i="2" s="1"/>
  <c r="E44" i="2"/>
  <c r="F44" i="2" s="1"/>
  <c r="E15" i="2"/>
  <c r="F15" i="2" s="1"/>
  <c r="E16" i="2"/>
  <c r="F16" i="2" s="1"/>
  <c r="E20" i="2"/>
  <c r="F20" i="2" s="1"/>
  <c r="E21" i="2"/>
  <c r="F21" i="2" s="1"/>
  <c r="E22" i="2"/>
  <c r="F22" i="2" s="1"/>
  <c r="C48" i="2"/>
  <c r="C25" i="3"/>
  <c r="C26" i="2"/>
  <c r="F12" i="2"/>
  <c r="E23" i="2"/>
  <c r="F23" i="2" s="1"/>
  <c r="E24" i="2"/>
  <c r="F24" i="2" s="1"/>
  <c r="E40" i="2"/>
  <c r="F40" i="2" s="1"/>
  <c r="E41" i="2"/>
  <c r="F41" i="2" s="1"/>
  <c r="E45" i="2"/>
  <c r="F45" i="2" s="1"/>
  <c r="E46" i="2"/>
  <c r="F46" i="2" s="1"/>
  <c r="B6" i="3"/>
  <c r="B4" i="3"/>
  <c r="B6" i="2"/>
  <c r="B4" i="2"/>
  <c r="B6" i="1"/>
  <c r="B4" i="1"/>
  <c r="C27" i="4"/>
  <c r="E34" i="3"/>
  <c r="F34" i="3" s="1"/>
  <c r="E35" i="3"/>
  <c r="F35" i="3" s="1"/>
  <c r="E36" i="3"/>
  <c r="F36" i="3" s="1"/>
  <c r="E14" i="3"/>
  <c r="F14" i="3" s="1"/>
  <c r="E15" i="3"/>
  <c r="F15" i="3" s="1"/>
  <c r="E16" i="3"/>
  <c r="F16" i="3" s="1"/>
  <c r="E17" i="3"/>
  <c r="F17" i="3" s="1"/>
  <c r="E18" i="3"/>
  <c r="F18" i="3" s="1"/>
  <c r="E20" i="3"/>
  <c r="F20" i="3" s="1"/>
  <c r="E21" i="3"/>
  <c r="F21" i="3" s="1"/>
  <c r="E22" i="3"/>
  <c r="F22" i="3" s="1"/>
  <c r="E23" i="3"/>
  <c r="F23" i="3" s="1"/>
  <c r="F42" i="2"/>
  <c r="F35" i="2"/>
  <c r="F19" i="2"/>
  <c r="E13" i="1"/>
  <c r="F13" i="1" s="1"/>
  <c r="E14" i="1"/>
  <c r="F14" i="1" s="1"/>
  <c r="E16" i="1"/>
  <c r="F16" i="1" s="1"/>
  <c r="E17" i="1"/>
  <c r="F17" i="1" s="1"/>
  <c r="E19" i="1"/>
  <c r="F19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8" i="1"/>
  <c r="F28" i="1" s="1"/>
  <c r="E29" i="1"/>
  <c r="F29" i="1" s="1"/>
  <c r="F30" i="1"/>
  <c r="E31" i="1"/>
  <c r="F31" i="1" s="1"/>
  <c r="E32" i="1"/>
  <c r="F32" i="1" s="1"/>
  <c r="E33" i="1"/>
  <c r="F33" i="1" s="1"/>
  <c r="F6" i="3"/>
  <c r="F4" i="3"/>
  <c r="F6" i="2"/>
  <c r="F4" i="2"/>
  <c r="F4" i="1"/>
  <c r="C38" i="3"/>
  <c r="C37" i="1"/>
  <c r="E49" i="2" l="1"/>
  <c r="E51" i="2" s="1"/>
  <c r="B14" i="4" s="1"/>
  <c r="F14" i="4" s="1"/>
  <c r="E27" i="2"/>
  <c r="E30" i="2" s="1"/>
  <c r="E26" i="3"/>
  <c r="E28" i="3" s="1"/>
  <c r="F13" i="2"/>
  <c r="E38" i="1"/>
  <c r="E40" i="1" s="1"/>
  <c r="B11" i="4" s="1"/>
  <c r="F11" i="4" s="1"/>
  <c r="F36" i="2"/>
  <c r="E39" i="3"/>
  <c r="E41" i="3" s="1"/>
  <c r="E11" i="4" l="1"/>
  <c r="E14" i="4"/>
  <c r="B13" i="4"/>
  <c r="F13" i="4" s="1"/>
  <c r="B17" i="4"/>
  <c r="F17" i="4" s="1"/>
  <c r="B18" i="4"/>
  <c r="E18" i="4" s="1"/>
  <c r="F18" i="4" l="1"/>
  <c r="B19" i="4"/>
  <c r="E17" i="4"/>
  <c r="E13" i="4"/>
  <c r="B15" i="4"/>
  <c r="F15" i="4" s="1"/>
  <c r="E21" i="4" l="1"/>
  <c r="E22" i="4" s="1"/>
  <c r="B22" i="4" s="1"/>
  <c r="B23" i="4"/>
  <c r="B21" i="4" l="1"/>
</calcChain>
</file>

<file path=xl/sharedStrings.xml><?xml version="1.0" encoding="utf-8"?>
<sst xmlns="http://schemas.openxmlformats.org/spreadsheetml/2006/main" count="168" uniqueCount="99">
  <si>
    <t>Konzept</t>
  </si>
  <si>
    <t>Journal</t>
  </si>
  <si>
    <t>Beurteilungsgespräch 1</t>
  </si>
  <si>
    <t>Dokumentation</t>
  </si>
  <si>
    <t>Beurteilungsgespräch 2</t>
  </si>
  <si>
    <t>Umgang mit der Fragestellung</t>
  </si>
  <si>
    <t>Anwendung der Methodik</t>
  </si>
  <si>
    <t>Theoretisches Fundament</t>
  </si>
  <si>
    <t>Ausdruck</t>
  </si>
  <si>
    <t>Kommunikativer Wert</t>
  </si>
  <si>
    <t>Note</t>
  </si>
  <si>
    <t>Faktor</t>
  </si>
  <si>
    <t>Punkte</t>
  </si>
  <si>
    <t>max. 6 / min. 1</t>
  </si>
  <si>
    <t>Beurteilungsgespräche</t>
  </si>
  <si>
    <t>Umsetzung des Konzepts</t>
  </si>
  <si>
    <t>Zusammenarbeit mit der Betreuung</t>
  </si>
  <si>
    <t>Inhalt</t>
  </si>
  <si>
    <t>Sprache</t>
  </si>
  <si>
    <t>Gliederung und Gestaltung</t>
  </si>
  <si>
    <t>Gestaltung</t>
  </si>
  <si>
    <t>Vollständigkeit</t>
  </si>
  <si>
    <t>Reflexion</t>
  </si>
  <si>
    <t>Zweckdienlichkeit</t>
  </si>
  <si>
    <t>Vortrag</t>
  </si>
  <si>
    <t>Fachgespräch</t>
  </si>
  <si>
    <t>Ausstellungsbeitrag</t>
  </si>
  <si>
    <t>Kritische Beurteilung der Ergebnisse</t>
  </si>
  <si>
    <t>Eigenständigkeit</t>
  </si>
  <si>
    <t>Verarbeitung</t>
  </si>
  <si>
    <t>Mediengerechter Umgang</t>
  </si>
  <si>
    <t>Kriterien</t>
  </si>
  <si>
    <t>Qualität</t>
  </si>
  <si>
    <t>Darstellung der gewonnenen Daten</t>
  </si>
  <si>
    <t>Darlegung der neuen Erkenntnisse</t>
  </si>
  <si>
    <t>Einhaltung von Zeitplan und Terminen</t>
  </si>
  <si>
    <t>Umgang mit Feedbacks</t>
  </si>
  <si>
    <t xml:space="preserve">Sachkompetenz </t>
  </si>
  <si>
    <t xml:space="preserve">Aufbau / Gliederung </t>
  </si>
  <si>
    <t xml:space="preserve">Sprache </t>
  </si>
  <si>
    <t>Medieneinsatz</t>
  </si>
  <si>
    <t>Visualisierung</t>
  </si>
  <si>
    <t>Fachkompetenz</t>
  </si>
  <si>
    <t>Fachterminologie</t>
  </si>
  <si>
    <t>Gestalterisches Konzept</t>
  </si>
  <si>
    <t>Wirkung</t>
  </si>
  <si>
    <t>Zielgerichtetes, initiatives, 
selbstverantwortliches Arbeiten</t>
  </si>
  <si>
    <t>Faktor 2.5 normal
0 min. / 5 max.</t>
  </si>
  <si>
    <t>Maximale Punktzahl bei überall Note 6</t>
  </si>
  <si>
    <t>Minimale Punktzahl bei  überall Note 1</t>
  </si>
  <si>
    <t>Einhalten der Termine</t>
  </si>
  <si>
    <t>effektive Punktezahl</t>
  </si>
  <si>
    <t>Note Arbeitsprozess</t>
  </si>
  <si>
    <t>Note Präsentation</t>
  </si>
  <si>
    <t>Gewicht</t>
  </si>
  <si>
    <t>Note Ausstellungsbeitrag</t>
  </si>
  <si>
    <t>Note Dokumentation</t>
  </si>
  <si>
    <t>Note Produktion</t>
  </si>
  <si>
    <t>Note Prozess</t>
  </si>
  <si>
    <t>erreichte Punktezahl</t>
  </si>
  <si>
    <t>Zusammenzug der Einzelnoten</t>
  </si>
  <si>
    <t>Anweisung</t>
  </si>
  <si>
    <t>Geben Sie 
die Note ein</t>
  </si>
  <si>
    <t>Geben Sie den Faktor ein</t>
  </si>
  <si>
    <t>Geben Sie das
Gewicht ein</t>
  </si>
  <si>
    <t>Total</t>
  </si>
  <si>
    <t>Allfällige Fehlermeldung</t>
  </si>
  <si>
    <t>Name Kandidat/-in</t>
  </si>
  <si>
    <t>Klasse</t>
  </si>
  <si>
    <t>Nr.</t>
  </si>
  <si>
    <t>Titel</t>
  </si>
  <si>
    <t>Bewertung: MATA (Gesamtarbeit)</t>
  </si>
  <si>
    <t>Referent:</t>
  </si>
  <si>
    <t>Korreferent:</t>
  </si>
  <si>
    <t>Willisau,</t>
  </si>
  <si>
    <t>Ort und Datum:</t>
  </si>
  <si>
    <t>Unterschriften</t>
  </si>
  <si>
    <t>Bewertung: Prozess</t>
  </si>
  <si>
    <t>Bewertung: Dokumentation und Produktion</t>
  </si>
  <si>
    <t>Bewertung: Präsentation</t>
  </si>
  <si>
    <t>Geben Sie den
Faktor ein</t>
  </si>
  <si>
    <t>Inhalt:</t>
  </si>
  <si>
    <t>Form:</t>
  </si>
  <si>
    <t>Note Dokumentation und Produktion</t>
  </si>
  <si>
    <t>Note Präsentation und Ausstellungsbeitrag</t>
  </si>
  <si>
    <t>Bitte geben Sie eine Zahl 
zwischen 12 und 22 ein.</t>
  </si>
  <si>
    <t>Produktion
(falls gewählt)</t>
  </si>
  <si>
    <t>Formale Korrektheit / Vollständigkeit</t>
  </si>
  <si>
    <t>Notenabzug für verspätete Abgabe Dokumentation</t>
  </si>
  <si>
    <t>Geplante techn. Umsetzung</t>
  </si>
  <si>
    <t>Bitte geben Sie eine Zahl
zwischen 8 und 12 ein.</t>
  </si>
  <si>
    <t>Dokumentation und Produktion 
dürfen zusammen max. 60 sein.</t>
  </si>
  <si>
    <t>Bitte geben Sie eine Zahl 
zwischen 20 und 30 ein.</t>
  </si>
  <si>
    <t>Bitte geben Sie eine Zahl ein.
Maximum 60; Minimum 20</t>
  </si>
  <si>
    <t>Bitte geben Sie eine Zahl von max. 40 ein, falls
Produktion gewählt wurde. Andernfalls keine Eingabe!</t>
  </si>
  <si>
    <t>Konsistenz</t>
  </si>
  <si>
    <t>Argumentation</t>
  </si>
  <si>
    <t>Engagement</t>
  </si>
  <si>
    <t>MATA 2012-2014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</si>
</sst>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807]d/\ mmmm\ yyyy;@"/>
  </numFmts>
  <fonts count="2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Arial"/>
      <family val="2"/>
    </font>
    <font>
      <sz val="2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330">
    <xf numFmtId="0" fontId="0" fillId="0" borderId="0" xfId="0"/>
    <xf numFmtId="0" fontId="7" fillId="0" borderId="0" xfId="0" applyFont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7" fillId="0" borderId="0" xfId="0" applyFont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2" fontId="0" fillId="0" borderId="0" xfId="0" applyNumberFormat="1"/>
    <xf numFmtId="164" fontId="0" fillId="0" borderId="0" xfId="0" applyNumberFormat="1"/>
    <xf numFmtId="0" fontId="7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/>
    <xf numFmtId="164" fontId="14" fillId="4" borderId="2" xfId="0" applyNumberFormat="1" applyFont="1" applyFill="1" applyBorder="1"/>
    <xf numFmtId="0" fontId="0" fillId="4" borderId="0" xfId="0" applyFill="1" applyBorder="1"/>
    <xf numFmtId="164" fontId="15" fillId="4" borderId="2" xfId="0" applyNumberFormat="1" applyFont="1" applyFill="1" applyBorder="1"/>
    <xf numFmtId="164" fontId="0" fillId="4" borderId="2" xfId="0" applyNumberFormat="1" applyFill="1" applyBorder="1"/>
    <xf numFmtId="0" fontId="0" fillId="4" borderId="3" xfId="0" applyFill="1" applyBorder="1"/>
    <xf numFmtId="0" fontId="11" fillId="4" borderId="4" xfId="0" applyFont="1" applyFill="1" applyBorder="1"/>
    <xf numFmtId="0" fontId="0" fillId="4" borderId="5" xfId="0" applyFill="1" applyBorder="1"/>
    <xf numFmtId="164" fontId="3" fillId="3" borderId="1" xfId="0" applyNumberFormat="1" applyFont="1" applyFill="1" applyBorder="1" applyAlignment="1">
      <alignment horizontal="center"/>
    </xf>
    <xf numFmtId="0" fontId="0" fillId="3" borderId="11" xfId="0" applyFill="1" applyBorder="1"/>
    <xf numFmtId="0" fontId="19" fillId="3" borderId="8" xfId="0" applyFont="1" applyFill="1" applyBorder="1" applyAlignment="1">
      <alignment horizontal="center" vertical="center"/>
    </xf>
    <xf numFmtId="0" fontId="0" fillId="0" borderId="0" xfId="0" applyFill="1"/>
    <xf numFmtId="0" fontId="0" fillId="5" borderId="3" xfId="0" applyFill="1" applyBorder="1"/>
    <xf numFmtId="0" fontId="0" fillId="5" borderId="0" xfId="0" applyFill="1" applyBorder="1"/>
    <xf numFmtId="0" fontId="17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/>
    <xf numFmtId="0" fontId="3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8" fillId="5" borderId="4" xfId="0" applyFont="1" applyFill="1" applyBorder="1"/>
    <xf numFmtId="0" fontId="8" fillId="5" borderId="2" xfId="0" applyFont="1" applyFill="1" applyBorder="1"/>
    <xf numFmtId="164" fontId="8" fillId="5" borderId="2" xfId="0" applyNumberFormat="1" applyFont="1" applyFill="1" applyBorder="1"/>
    <xf numFmtId="0" fontId="9" fillId="5" borderId="3" xfId="0" applyFont="1" applyFill="1" applyBorder="1"/>
    <xf numFmtId="0" fontId="8" fillId="5" borderId="0" xfId="0" applyFont="1" applyFill="1" applyBorder="1"/>
    <xf numFmtId="0" fontId="0" fillId="5" borderId="5" xfId="0" applyFill="1" applyBorder="1"/>
    <xf numFmtId="0" fontId="7" fillId="5" borderId="0" xfId="0" applyFont="1" applyFill="1" applyBorder="1" applyAlignment="1">
      <alignment horizontal="right"/>
    </xf>
    <xf numFmtId="0" fontId="7" fillId="5" borderId="12" xfId="0" applyFont="1" applyFill="1" applyBorder="1" applyAlignment="1">
      <alignment horizontal="right"/>
    </xf>
    <xf numFmtId="0" fontId="8" fillId="5" borderId="3" xfId="0" applyFont="1" applyFill="1" applyBorder="1"/>
    <xf numFmtId="0" fontId="0" fillId="5" borderId="2" xfId="0" applyFill="1" applyBorder="1"/>
    <xf numFmtId="0" fontId="8" fillId="0" borderId="0" xfId="0" applyFont="1" applyBorder="1"/>
    <xf numFmtId="0" fontId="9" fillId="4" borderId="3" xfId="0" applyFont="1" applyFill="1" applyBorder="1"/>
    <xf numFmtId="0" fontId="3" fillId="4" borderId="14" xfId="0" applyFont="1" applyFill="1" applyBorder="1" applyAlignment="1">
      <alignment horizontal="left"/>
    </xf>
    <xf numFmtId="0" fontId="10" fillId="4" borderId="0" xfId="0" applyFont="1" applyFill="1" applyBorder="1" applyAlignment="1"/>
    <xf numFmtId="164" fontId="14" fillId="4" borderId="6" xfId="0" applyNumberFormat="1" applyFont="1" applyFill="1" applyBorder="1"/>
    <xf numFmtId="0" fontId="11" fillId="4" borderId="15" xfId="0" applyFont="1" applyFill="1" applyBorder="1"/>
    <xf numFmtId="0" fontId="3" fillId="4" borderId="16" xfId="0" applyFont="1" applyFill="1" applyBorder="1" applyAlignment="1">
      <alignment horizontal="left"/>
    </xf>
    <xf numFmtId="0" fontId="7" fillId="4" borderId="3" xfId="0" applyFont="1" applyFill="1" applyBorder="1"/>
    <xf numFmtId="164" fontId="8" fillId="5" borderId="17" xfId="0" applyNumberFormat="1" applyFont="1" applyFill="1" applyBorder="1"/>
    <xf numFmtId="164" fontId="10" fillId="5" borderId="6" xfId="0" applyNumberFormat="1" applyFont="1" applyFill="1" applyBorder="1"/>
    <xf numFmtId="0" fontId="0" fillId="0" borderId="0" xfId="0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8" xfId="0" applyBorder="1"/>
    <xf numFmtId="0" fontId="0" fillId="3" borderId="0" xfId="0" applyFill="1" applyBorder="1" applyAlignment="1">
      <alignment horizontal="right"/>
    </xf>
    <xf numFmtId="9" fontId="0" fillId="3" borderId="19" xfId="0" applyNumberFormat="1" applyFill="1" applyBorder="1"/>
    <xf numFmtId="0" fontId="7" fillId="3" borderId="3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>
      <alignment horizontal="left"/>
    </xf>
    <xf numFmtId="0" fontId="14" fillId="3" borderId="3" xfId="0" applyFont="1" applyFill="1" applyBorder="1"/>
    <xf numFmtId="165" fontId="14" fillId="3" borderId="2" xfId="0" applyNumberFormat="1" applyFont="1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18" xfId="0" applyFill="1" applyBorder="1"/>
    <xf numFmtId="164" fontId="0" fillId="3" borderId="18" xfId="0" applyNumberFormat="1" applyFill="1" applyBorder="1"/>
    <xf numFmtId="0" fontId="0" fillId="3" borderId="20" xfId="0" applyFill="1" applyBorder="1"/>
    <xf numFmtId="166" fontId="21" fillId="0" borderId="21" xfId="0" applyNumberFormat="1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vertical="center"/>
    </xf>
    <xf numFmtId="0" fontId="21" fillId="0" borderId="18" xfId="0" applyFont="1" applyBorder="1"/>
    <xf numFmtId="164" fontId="21" fillId="0" borderId="18" xfId="0" applyNumberFormat="1" applyFont="1" applyBorder="1"/>
    <xf numFmtId="0" fontId="12" fillId="4" borderId="22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left"/>
    </xf>
    <xf numFmtId="0" fontId="17" fillId="4" borderId="6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0" fillId="4" borderId="9" xfId="0" applyFill="1" applyBorder="1"/>
    <xf numFmtId="2" fontId="14" fillId="4" borderId="9" xfId="0" applyNumberFormat="1" applyFont="1" applyFill="1" applyBorder="1"/>
    <xf numFmtId="2" fontId="0" fillId="4" borderId="9" xfId="0" applyNumberFormat="1" applyFill="1" applyBorder="1"/>
    <xf numFmtId="2" fontId="7" fillId="4" borderId="25" xfId="0" applyNumberFormat="1" applyFont="1" applyFill="1" applyBorder="1"/>
    <xf numFmtId="0" fontId="20" fillId="0" borderId="26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7" xfId="0" applyBorder="1"/>
    <xf numFmtId="0" fontId="0" fillId="0" borderId="28" xfId="0" applyBorder="1"/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3" fillId="4" borderId="29" xfId="0" applyFont="1" applyFill="1" applyBorder="1" applyAlignment="1">
      <alignment vertical="center"/>
    </xf>
    <xf numFmtId="164" fontId="0" fillId="4" borderId="0" xfId="0" applyNumberFormat="1" applyFill="1" applyBorder="1"/>
    <xf numFmtId="0" fontId="0" fillId="0" borderId="28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20" fillId="0" borderId="3" xfId="0" applyFont="1" applyBorder="1" applyAlignment="1" applyProtection="1">
      <alignment vertical="center"/>
    </xf>
    <xf numFmtId="0" fontId="3" fillId="5" borderId="9" xfId="0" applyFont="1" applyFill="1" applyBorder="1" applyAlignment="1">
      <alignment horizontal="center"/>
    </xf>
    <xf numFmtId="0" fontId="0" fillId="5" borderId="9" xfId="0" applyFill="1" applyBorder="1"/>
    <xf numFmtId="2" fontId="10" fillId="5" borderId="30" xfId="0" applyNumberFormat="1" applyFont="1" applyFill="1" applyBorder="1"/>
    <xf numFmtId="0" fontId="8" fillId="5" borderId="23" xfId="0" applyFont="1" applyFill="1" applyBorder="1"/>
    <xf numFmtId="2" fontId="8" fillId="5" borderId="9" xfId="0" applyNumberFormat="1" applyFont="1" applyFill="1" applyBorder="1"/>
    <xf numFmtId="2" fontId="7" fillId="5" borderId="9" xfId="0" applyNumberFormat="1" applyFont="1" applyFill="1" applyBorder="1" applyAlignment="1"/>
    <xf numFmtId="2" fontId="7" fillId="5" borderId="12" xfId="0" applyNumberFormat="1" applyFont="1" applyFill="1" applyBorder="1" applyAlignment="1"/>
    <xf numFmtId="2" fontId="0" fillId="5" borderId="9" xfId="0" applyNumberFormat="1" applyFill="1" applyBorder="1"/>
    <xf numFmtId="2" fontId="7" fillId="5" borderId="25" xfId="0" applyNumberFormat="1" applyFont="1" applyFill="1" applyBorder="1" applyAlignment="1"/>
    <xf numFmtId="0" fontId="10" fillId="0" borderId="2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3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5" xfId="0" applyBorder="1"/>
    <xf numFmtId="0" fontId="0" fillId="0" borderId="26" xfId="0" applyBorder="1"/>
    <xf numFmtId="164" fontId="0" fillId="0" borderId="27" xfId="0" applyNumberFormat="1" applyBorder="1"/>
    <xf numFmtId="0" fontId="21" fillId="0" borderId="3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/>
    <xf numFmtId="164" fontId="21" fillId="0" borderId="0" xfId="0" applyNumberFormat="1" applyFont="1" applyBorder="1"/>
    <xf numFmtId="0" fontId="21" fillId="0" borderId="7" xfId="0" applyFont="1" applyBorder="1"/>
    <xf numFmtId="0" fontId="21" fillId="0" borderId="20" xfId="0" applyFont="1" applyBorder="1"/>
    <xf numFmtId="164" fontId="14" fillId="2" borderId="2" xfId="0" applyNumberFormat="1" applyFont="1" applyFill="1" applyBorder="1" applyProtection="1">
      <protection locked="0"/>
    </xf>
    <xf numFmtId="164" fontId="14" fillId="2" borderId="1" xfId="0" applyNumberFormat="1" applyFont="1" applyFill="1" applyBorder="1" applyProtection="1">
      <protection locked="0"/>
    </xf>
    <xf numFmtId="2" fontId="10" fillId="5" borderId="8" xfId="0" applyNumberFormat="1" applyFont="1" applyFill="1" applyBorder="1"/>
    <xf numFmtId="0" fontId="21" fillId="0" borderId="3" xfId="0" applyFont="1" applyBorder="1" applyAlignment="1" applyProtection="1">
      <alignment horizontal="right" vertical="center"/>
    </xf>
    <xf numFmtId="0" fontId="21" fillId="0" borderId="5" xfId="0" applyFont="1" applyBorder="1" applyAlignment="1" applyProtection="1">
      <alignment horizontal="right" vertical="center"/>
    </xf>
    <xf numFmtId="0" fontId="10" fillId="4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16" xfId="0" applyFont="1" applyFill="1" applyBorder="1" applyAlignment="1" applyProtection="1">
      <alignment wrapText="1"/>
      <protection locked="0"/>
    </xf>
    <xf numFmtId="0" fontId="10" fillId="2" borderId="16" xfId="0" applyFont="1" applyFill="1" applyBorder="1" applyAlignment="1" applyProtection="1">
      <alignment wrapText="1"/>
      <protection locked="0"/>
    </xf>
    <xf numFmtId="0" fontId="10" fillId="5" borderId="16" xfId="0" applyFont="1" applyFill="1" applyBorder="1" applyProtection="1">
      <protection locked="0"/>
    </xf>
    <xf numFmtId="0" fontId="13" fillId="3" borderId="9" xfId="0" applyFont="1" applyFill="1" applyBorder="1"/>
    <xf numFmtId="2" fontId="14" fillId="3" borderId="0" xfId="0" applyNumberFormat="1" applyFont="1" applyFill="1" applyBorder="1" applyAlignment="1">
      <alignment horizontal="left" indent="1"/>
    </xf>
    <xf numFmtId="2" fontId="13" fillId="3" borderId="12" xfId="0" applyNumberFormat="1" applyFont="1" applyFill="1" applyBorder="1" applyAlignment="1">
      <alignment horizontal="left" indent="1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1" fillId="4" borderId="33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6" borderId="3" xfId="0" applyFont="1" applyFill="1" applyBorder="1"/>
    <xf numFmtId="0" fontId="8" fillId="6" borderId="0" xfId="0" applyFont="1" applyFill="1" applyBorder="1"/>
    <xf numFmtId="0" fontId="17" fillId="6" borderId="6" xfId="0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32" xfId="0" applyFill="1" applyBorder="1" applyAlignment="1">
      <alignment horizontal="center"/>
    </xf>
    <xf numFmtId="0" fontId="9" fillId="6" borderId="3" xfId="0" applyFont="1" applyFill="1" applyBorder="1"/>
    <xf numFmtId="0" fontId="9" fillId="6" borderId="0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8" xfId="0" applyFill="1" applyBorder="1"/>
    <xf numFmtId="0" fontId="0" fillId="6" borderId="33" xfId="0" applyFill="1" applyBorder="1" applyAlignment="1">
      <alignment horizontal="center"/>
    </xf>
    <xf numFmtId="0" fontId="1" fillId="6" borderId="3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 applyProtection="1">
      <protection locked="0"/>
    </xf>
    <xf numFmtId="2" fontId="14" fillId="6" borderId="8" xfId="0" applyNumberFormat="1" applyFont="1" applyFill="1" applyBorder="1"/>
    <xf numFmtId="0" fontId="10" fillId="6" borderId="16" xfId="0" applyFont="1" applyFill="1" applyBorder="1" applyAlignment="1" applyProtection="1">
      <alignment vertical="center"/>
      <protection locked="0"/>
    </xf>
    <xf numFmtId="0" fontId="10" fillId="6" borderId="16" xfId="0" applyFont="1" applyFill="1" applyBorder="1" applyAlignment="1" applyProtection="1">
      <alignment vertical="center" wrapText="1"/>
      <protection locked="0"/>
    </xf>
    <xf numFmtId="0" fontId="10" fillId="6" borderId="16" xfId="0" applyFont="1" applyFill="1" applyBorder="1" applyAlignment="1" applyProtection="1">
      <alignment horizontal="left" vertical="center"/>
      <protection locked="0"/>
    </xf>
    <xf numFmtId="0" fontId="0" fillId="6" borderId="0" xfId="0" applyFill="1" applyBorder="1"/>
    <xf numFmtId="0" fontId="0" fillId="6" borderId="34" xfId="0" applyFill="1" applyBorder="1" applyAlignment="1">
      <alignment horizontal="center"/>
    </xf>
    <xf numFmtId="0" fontId="0" fillId="6" borderId="2" xfId="0" applyFill="1" applyBorder="1"/>
    <xf numFmtId="164" fontId="0" fillId="6" borderId="2" xfId="0" applyNumberFormat="1" applyFill="1" applyBorder="1"/>
    <xf numFmtId="164" fontId="0" fillId="6" borderId="0" xfId="0" applyNumberFormat="1" applyFill="1" applyBorder="1"/>
    <xf numFmtId="0" fontId="0" fillId="6" borderId="35" xfId="0" applyFill="1" applyBorder="1" applyAlignment="1">
      <alignment horizontal="center"/>
    </xf>
    <xf numFmtId="2" fontId="0" fillId="6" borderId="8" xfId="0" applyNumberFormat="1" applyFill="1" applyBorder="1"/>
    <xf numFmtId="0" fontId="10" fillId="6" borderId="0" xfId="0" applyFont="1" applyFill="1" applyBorder="1"/>
    <xf numFmtId="0" fontId="6" fillId="6" borderId="0" xfId="0" applyFont="1" applyFill="1" applyBorder="1"/>
    <xf numFmtId="0" fontId="7" fillId="6" borderId="0" xfId="0" applyFont="1" applyFill="1" applyBorder="1"/>
    <xf numFmtId="0" fontId="7" fillId="6" borderId="7" xfId="0" applyFont="1" applyFill="1" applyBorder="1" applyAlignment="1">
      <alignment horizontal="right" indent="1"/>
    </xf>
    <xf numFmtId="0" fontId="10" fillId="6" borderId="0" xfId="0" applyFont="1" applyFill="1" applyBorder="1" applyAlignment="1"/>
    <xf numFmtId="2" fontId="7" fillId="6" borderId="8" xfId="0" applyNumberFormat="1" applyFont="1" applyFill="1" applyBorder="1" applyAlignment="1"/>
    <xf numFmtId="0" fontId="7" fillId="6" borderId="0" xfId="0" applyFont="1" applyFill="1" applyBorder="1" applyAlignment="1">
      <alignment horizontal="right"/>
    </xf>
    <xf numFmtId="0" fontId="7" fillId="6" borderId="12" xfId="0" applyFont="1" applyFill="1" applyBorder="1" applyAlignment="1">
      <alignment horizontal="right"/>
    </xf>
    <xf numFmtId="2" fontId="7" fillId="6" borderId="13" xfId="0" applyNumberFormat="1" applyFont="1" applyFill="1" applyBorder="1" applyAlignment="1"/>
    <xf numFmtId="0" fontId="10" fillId="6" borderId="3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wrapText="1"/>
    </xf>
    <xf numFmtId="164" fontId="10" fillId="6" borderId="8" xfId="0" applyNumberFormat="1" applyFont="1" applyFill="1" applyBorder="1" applyAlignment="1">
      <alignment horizontal="right" vertical="center" indent="1"/>
    </xf>
    <xf numFmtId="0" fontId="8" fillId="6" borderId="3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 applyProtection="1">
      <protection locked="0"/>
    </xf>
    <xf numFmtId="0" fontId="10" fillId="6" borderId="2" xfId="0" applyFont="1" applyFill="1" applyBorder="1" applyAlignment="1" applyProtection="1">
      <alignment vertical="center"/>
      <protection locked="0"/>
    </xf>
    <xf numFmtId="0" fontId="10" fillId="6" borderId="2" xfId="0" applyFont="1" applyFill="1" applyBorder="1" applyAlignment="1" applyProtection="1">
      <alignment vertical="center" wrapText="1"/>
      <protection locked="0"/>
    </xf>
    <xf numFmtId="0" fontId="8" fillId="6" borderId="2" xfId="0" applyFont="1" applyFill="1" applyBorder="1"/>
    <xf numFmtId="0" fontId="5" fillId="6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 indent="1"/>
    </xf>
    <xf numFmtId="164" fontId="5" fillId="6" borderId="7" xfId="0" applyNumberFormat="1" applyFont="1" applyFill="1" applyBorder="1" applyAlignment="1">
      <alignment horizontal="right" indent="1"/>
    </xf>
    <xf numFmtId="164" fontId="7" fillId="6" borderId="2" xfId="0" applyNumberFormat="1" applyFont="1" applyFill="1" applyBorder="1"/>
    <xf numFmtId="0" fontId="10" fillId="6" borderId="5" xfId="0" applyFont="1" applyFill="1" applyBorder="1"/>
    <xf numFmtId="0" fontId="0" fillId="6" borderId="36" xfId="0" applyFill="1" applyBorder="1" applyAlignment="1">
      <alignment horizontal="center"/>
    </xf>
    <xf numFmtId="164" fontId="14" fillId="0" borderId="2" xfId="0" applyNumberFormat="1" applyFont="1" applyFill="1" applyBorder="1" applyAlignment="1" applyProtection="1">
      <protection locked="0"/>
    </xf>
    <xf numFmtId="164" fontId="14" fillId="0" borderId="2" xfId="0" applyNumberFormat="1" applyFont="1" applyFill="1" applyBorder="1" applyAlignment="1" applyProtection="1">
      <alignment vertical="center"/>
      <protection locked="0"/>
    </xf>
    <xf numFmtId="0" fontId="13" fillId="6" borderId="9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13" fillId="6" borderId="13" xfId="0" applyFont="1" applyFill="1" applyBorder="1" applyAlignment="1" applyProtection="1">
      <alignment horizontal="left"/>
      <protection locked="0"/>
    </xf>
    <xf numFmtId="0" fontId="14" fillId="6" borderId="4" xfId="0" applyFont="1" applyFill="1" applyBorder="1"/>
    <xf numFmtId="2" fontId="10" fillId="6" borderId="2" xfId="0" applyNumberFormat="1" applyFont="1" applyFill="1" applyBorder="1" applyAlignment="1">
      <alignment horizontal="left" indent="1"/>
    </xf>
    <xf numFmtId="0" fontId="13" fillId="6" borderId="2" xfId="0" applyFont="1" applyFill="1" applyBorder="1"/>
    <xf numFmtId="2" fontId="13" fillId="6" borderId="2" xfId="0" applyNumberFormat="1" applyFont="1" applyFill="1" applyBorder="1" applyAlignment="1">
      <alignment horizontal="left" indent="1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protection locked="0"/>
    </xf>
    <xf numFmtId="164" fontId="14" fillId="0" borderId="2" xfId="0" applyNumberFormat="1" applyFont="1" applyFill="1" applyBorder="1" applyProtection="1">
      <protection locked="0"/>
    </xf>
    <xf numFmtId="164" fontId="10" fillId="0" borderId="1" xfId="0" applyNumberFormat="1" applyFont="1" applyFill="1" applyBorder="1" applyProtection="1">
      <protection locked="0"/>
    </xf>
    <xf numFmtId="164" fontId="10" fillId="0" borderId="1" xfId="0" applyNumberFormat="1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Protection="1">
      <protection locked="0"/>
    </xf>
    <xf numFmtId="164" fontId="10" fillId="0" borderId="2" xfId="0" applyNumberFormat="1" applyFont="1" applyFill="1" applyBorder="1" applyProtection="1">
      <protection locked="0"/>
    </xf>
    <xf numFmtId="0" fontId="17" fillId="4" borderId="2" xfId="0" applyFont="1" applyFill="1" applyBorder="1" applyAlignment="1">
      <alignment horizontal="left"/>
    </xf>
    <xf numFmtId="0" fontId="13" fillId="7" borderId="4" xfId="0" applyFont="1" applyFill="1" applyBorder="1"/>
    <xf numFmtId="2" fontId="13" fillId="7" borderId="2" xfId="0" applyNumberFormat="1" applyFont="1" applyFill="1" applyBorder="1" applyAlignment="1">
      <alignment horizontal="left" indent="1"/>
    </xf>
    <xf numFmtId="0" fontId="14" fillId="9" borderId="4" xfId="0" applyFont="1" applyFill="1" applyBorder="1"/>
    <xf numFmtId="2" fontId="14" fillId="9" borderId="2" xfId="0" applyNumberFormat="1" applyFont="1" applyFill="1" applyBorder="1" applyAlignment="1">
      <alignment horizontal="left" indent="1"/>
    </xf>
    <xf numFmtId="0" fontId="13" fillId="9" borderId="2" xfId="0" applyFont="1" applyFill="1" applyBorder="1"/>
    <xf numFmtId="2" fontId="13" fillId="9" borderId="2" xfId="0" applyNumberFormat="1" applyFont="1" applyFill="1" applyBorder="1" applyAlignment="1">
      <alignment horizontal="left" indent="1"/>
    </xf>
    <xf numFmtId="164" fontId="18" fillId="8" borderId="10" xfId="0" applyNumberFormat="1" applyFont="1" applyFill="1" applyBorder="1"/>
    <xf numFmtId="0" fontId="20" fillId="0" borderId="2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2" fontId="11" fillId="8" borderId="10" xfId="0" applyNumberFormat="1" applyFont="1" applyFill="1" applyBorder="1"/>
    <xf numFmtId="0" fontId="8" fillId="0" borderId="2" xfId="0" applyFont="1" applyFill="1" applyBorder="1" applyProtection="1">
      <protection locked="0"/>
    </xf>
    <xf numFmtId="164" fontId="14" fillId="2" borderId="2" xfId="0" applyNumberFormat="1" applyFont="1" applyFill="1" applyBorder="1" applyAlignment="1" applyProtection="1">
      <alignment horizontal="right"/>
      <protection locked="0"/>
    </xf>
    <xf numFmtId="0" fontId="0" fillId="3" borderId="2" xfId="0" applyFill="1" applyBorder="1" applyAlignment="1">
      <alignment horizontal="left" vertical="top" wrapText="1" indent="1"/>
    </xf>
    <xf numFmtId="0" fontId="0" fillId="3" borderId="0" xfId="0" applyFill="1" applyBorder="1" applyAlignment="1">
      <alignment horizontal="left" vertical="top" indent="1"/>
    </xf>
    <xf numFmtId="0" fontId="0" fillId="3" borderId="23" xfId="0" applyFill="1" applyBorder="1" applyAlignment="1">
      <alignment horizontal="left" vertical="top" indent="1"/>
    </xf>
    <xf numFmtId="0" fontId="13" fillId="3" borderId="2" xfId="0" applyFont="1" applyFill="1" applyBorder="1" applyAlignment="1">
      <alignment horizontal="right"/>
    </xf>
    <xf numFmtId="9" fontId="14" fillId="2" borderId="2" xfId="1" applyFont="1" applyFill="1" applyBorder="1" applyAlignment="1" applyProtection="1">
      <alignment horizontal="right" indent="2"/>
      <protection locked="0"/>
    </xf>
    <xf numFmtId="0" fontId="14" fillId="3" borderId="0" xfId="0" applyFont="1" applyFill="1" applyBorder="1" applyAlignment="1">
      <alignment horizontal="right" indent="2"/>
    </xf>
    <xf numFmtId="9" fontId="10" fillId="2" borderId="2" xfId="1" applyFont="1" applyFill="1" applyBorder="1" applyAlignment="1" applyProtection="1">
      <alignment horizontal="right" indent="2"/>
      <protection locked="0"/>
    </xf>
    <xf numFmtId="9" fontId="14" fillId="3" borderId="2" xfId="0" applyNumberFormat="1" applyFont="1" applyFill="1" applyBorder="1" applyAlignment="1">
      <alignment horizontal="right" indent="2"/>
    </xf>
    <xf numFmtId="0" fontId="14" fillId="3" borderId="23" xfId="0" applyFont="1" applyFill="1" applyBorder="1" applyAlignment="1">
      <alignment horizontal="right" indent="2"/>
    </xf>
    <xf numFmtId="0" fontId="1" fillId="7" borderId="33" xfId="0" applyFont="1" applyFill="1" applyBorder="1" applyAlignment="1">
      <alignment horizontal="center" vertical="center" wrapText="1"/>
    </xf>
    <xf numFmtId="165" fontId="14" fillId="3" borderId="12" xfId="0" applyNumberFormat="1" applyFont="1" applyFill="1" applyBorder="1"/>
    <xf numFmtId="0" fontId="0" fillId="3" borderId="13" xfId="0" applyFill="1" applyBorder="1"/>
    <xf numFmtId="165" fontId="14" fillId="3" borderId="23" xfId="0" applyNumberFormat="1" applyFont="1" applyFill="1" applyBorder="1"/>
    <xf numFmtId="0" fontId="0" fillId="3" borderId="44" xfId="0" applyFill="1" applyBorder="1"/>
    <xf numFmtId="164" fontId="14" fillId="3" borderId="30" xfId="0" applyNumberFormat="1" applyFont="1" applyFill="1" applyBorder="1"/>
    <xf numFmtId="164" fontId="0" fillId="3" borderId="46" xfId="0" applyNumberFormat="1" applyFill="1" applyBorder="1"/>
    <xf numFmtId="0" fontId="10" fillId="3" borderId="45" xfId="0" applyFont="1" applyFill="1" applyBorder="1"/>
    <xf numFmtId="0" fontId="4" fillId="3" borderId="3" xfId="0" applyFont="1" applyFill="1" applyBorder="1" applyAlignment="1">
      <alignment horizontal="right" vertical="center"/>
    </xf>
    <xf numFmtId="0" fontId="7" fillId="3" borderId="37" xfId="0" applyFont="1" applyFill="1" applyBorder="1" applyAlignment="1" applyProtection="1">
      <alignment horizontal="left" vertical="center"/>
    </xf>
    <xf numFmtId="0" fontId="7" fillId="3" borderId="38" xfId="0" applyFont="1" applyFill="1" applyBorder="1" applyAlignment="1" applyProtection="1">
      <alignment horizontal="left" vertical="center"/>
    </xf>
    <xf numFmtId="0" fontId="7" fillId="3" borderId="39" xfId="0" applyFont="1" applyFill="1" applyBorder="1" applyAlignment="1" applyProtection="1">
      <alignment horizontal="left" vertical="center"/>
    </xf>
    <xf numFmtId="0" fontId="7" fillId="3" borderId="3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7" fillId="3" borderId="39" xfId="0" applyFont="1" applyFill="1" applyBorder="1" applyAlignment="1">
      <alignment horizontal="left"/>
    </xf>
    <xf numFmtId="0" fontId="18" fillId="8" borderId="37" xfId="0" applyFont="1" applyFill="1" applyBorder="1" applyAlignment="1">
      <alignment horizontal="right"/>
    </xf>
    <xf numFmtId="0" fontId="18" fillId="8" borderId="38" xfId="0" applyFont="1" applyFill="1" applyBorder="1" applyAlignment="1">
      <alignment horizontal="right"/>
    </xf>
    <xf numFmtId="0" fontId="18" fillId="8" borderId="40" xfId="0" applyFont="1" applyFill="1" applyBorder="1" applyAlignment="1">
      <alignment horizontal="right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11" fillId="8" borderId="37" xfId="0" applyFont="1" applyFill="1" applyBorder="1" applyAlignment="1">
      <alignment horizontal="right"/>
    </xf>
    <xf numFmtId="0" fontId="11" fillId="8" borderId="38" xfId="0" applyFont="1" applyFill="1" applyBorder="1" applyAlignment="1">
      <alignment horizontal="right"/>
    </xf>
    <xf numFmtId="0" fontId="11" fillId="8" borderId="4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right"/>
    </xf>
    <xf numFmtId="164" fontId="14" fillId="2" borderId="2" xfId="0" applyNumberFormat="1" applyFont="1" applyFill="1" applyBorder="1" applyAlignment="1" applyProtection="1">
      <alignment horizontal="right"/>
      <protection locked="0"/>
    </xf>
    <xf numFmtId="164" fontId="14" fillId="2" borderId="9" xfId="0" applyNumberFormat="1" applyFont="1" applyFill="1" applyBorder="1" applyAlignment="1" applyProtection="1">
      <alignment horizontal="right"/>
      <protection locked="0"/>
    </xf>
    <xf numFmtId="0" fontId="11" fillId="4" borderId="15" xfId="0" applyFont="1" applyFill="1" applyBorder="1" applyAlignment="1">
      <alignment horizontal="left" vertical="top"/>
    </xf>
    <xf numFmtId="0" fontId="11" fillId="4" borderId="42" xfId="0" applyFont="1" applyFill="1" applyBorder="1" applyAlignment="1">
      <alignment horizontal="left" vertical="top"/>
    </xf>
    <xf numFmtId="0" fontId="11" fillId="4" borderId="43" xfId="0" applyFont="1" applyFill="1" applyBorder="1" applyAlignment="1">
      <alignment horizontal="left" vertical="top"/>
    </xf>
    <xf numFmtId="0" fontId="12" fillId="4" borderId="37" xfId="0" applyFont="1" applyFill="1" applyBorder="1" applyAlignment="1">
      <alignment horizontal="left"/>
    </xf>
    <xf numFmtId="0" fontId="12" fillId="4" borderId="38" xfId="0" applyFont="1" applyFill="1" applyBorder="1" applyAlignment="1">
      <alignment horizontal="left"/>
    </xf>
    <xf numFmtId="0" fontId="12" fillId="4" borderId="39" xfId="0" applyFont="1" applyFill="1" applyBorder="1" applyAlignment="1">
      <alignment horizontal="left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4" fillId="0" borderId="16" xfId="0" applyFont="1" applyBorder="1" applyAlignment="1" applyProtection="1">
      <alignment horizontal="left" vertical="center" shrinkToFit="1"/>
    </xf>
    <xf numFmtId="0" fontId="11" fillId="0" borderId="9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3" fillId="4" borderId="42" xfId="0" applyFont="1" applyFill="1" applyBorder="1" applyAlignment="1">
      <alignment horizontal="right" vertical="center"/>
    </xf>
    <xf numFmtId="0" fontId="13" fillId="4" borderId="43" xfId="0" applyFont="1" applyFill="1" applyBorder="1" applyAlignment="1">
      <alignment horizontal="right" vertical="center"/>
    </xf>
    <xf numFmtId="0" fontId="13" fillId="4" borderId="15" xfId="0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right"/>
    </xf>
    <xf numFmtId="0" fontId="7" fillId="6" borderId="41" xfId="0" applyFont="1" applyFill="1" applyBorder="1" applyAlignment="1">
      <alignment horizontal="right"/>
    </xf>
    <xf numFmtId="0" fontId="7" fillId="6" borderId="37" xfId="0" applyFont="1" applyFill="1" applyBorder="1" applyAlignment="1">
      <alignment horizontal="left"/>
    </xf>
    <xf numFmtId="0" fontId="7" fillId="6" borderId="38" xfId="0" applyFont="1" applyFill="1" applyBorder="1" applyAlignment="1">
      <alignment horizontal="left"/>
    </xf>
    <xf numFmtId="0" fontId="7" fillId="6" borderId="39" xfId="0" applyFont="1" applyFill="1" applyBorder="1" applyAlignment="1">
      <alignment horizontal="left"/>
    </xf>
    <xf numFmtId="0" fontId="11" fillId="6" borderId="15" xfId="0" applyFont="1" applyFill="1" applyBorder="1" applyAlignment="1">
      <alignment horizontal="center" vertical="top"/>
    </xf>
    <xf numFmtId="0" fontId="11" fillId="6" borderId="42" xfId="0" applyFont="1" applyFill="1" applyBorder="1" applyAlignment="1">
      <alignment horizontal="center" vertical="top"/>
    </xf>
    <xf numFmtId="0" fontId="11" fillId="6" borderId="43" xfId="0" applyFont="1" applyFill="1" applyBorder="1" applyAlignment="1">
      <alignment horizontal="center" vertical="top"/>
    </xf>
    <xf numFmtId="0" fontId="11" fillId="6" borderId="15" xfId="0" applyFont="1" applyFill="1" applyBorder="1" applyAlignment="1">
      <alignment horizontal="center" vertical="top" wrapText="1"/>
    </xf>
    <xf numFmtId="0" fontId="13" fillId="6" borderId="9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13" fillId="6" borderId="13" xfId="0" applyFont="1" applyFill="1" applyBorder="1" applyAlignment="1" applyProtection="1">
      <alignment horizontal="left"/>
      <protection locked="0"/>
    </xf>
    <xf numFmtId="0" fontId="7" fillId="5" borderId="37" xfId="0" applyFont="1" applyFill="1" applyBorder="1" applyAlignment="1">
      <alignment horizontal="left"/>
    </xf>
    <xf numFmtId="0" fontId="7" fillId="5" borderId="38" xfId="0" applyFont="1" applyFill="1" applyBorder="1" applyAlignment="1">
      <alignment horizontal="left"/>
    </xf>
    <xf numFmtId="0" fontId="7" fillId="5" borderId="39" xfId="0" applyFont="1" applyFill="1" applyBorder="1" applyAlignment="1">
      <alignment horizontal="left"/>
    </xf>
    <xf numFmtId="0" fontId="7" fillId="5" borderId="41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0" fontId="11" fillId="5" borderId="15" xfId="0" applyFont="1" applyFill="1" applyBorder="1" applyAlignment="1">
      <alignment horizontal="left" vertical="top"/>
    </xf>
    <xf numFmtId="0" fontId="11" fillId="5" borderId="42" xfId="0" applyFont="1" applyFill="1" applyBorder="1" applyAlignment="1">
      <alignment horizontal="left" vertical="top"/>
    </xf>
    <xf numFmtId="0" fontId="11" fillId="5" borderId="43" xfId="0" applyFont="1" applyFill="1" applyBorder="1" applyAlignment="1">
      <alignment horizontal="left" vertical="top"/>
    </xf>
  </cellXfs>
  <cellStyles count="2">
    <cellStyle name="Prozent" xfId="1" builtinId="5"/>
    <cellStyle name="Standard" xfId="0" builtinId="0"/>
  </cellStyles>
  <dxfs count="6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font>
        <condense val="0"/>
        <extend val="0"/>
        <color indexed="47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numFmt numFmtId="167" formatCode="#,###"/>
    </dxf>
    <dxf>
      <numFmt numFmtId="167" formatCode="#,###"/>
    </dxf>
    <dxf>
      <numFmt numFmtId="167" formatCode="#,###"/>
    </dxf>
    <dxf>
      <font>
        <strike val="0"/>
        <color theme="3" tint="0.79998168889431442"/>
      </font>
    </dxf>
    <dxf>
      <font>
        <strike val="0"/>
        <color theme="3" tint="0.79998168889431442"/>
      </font>
    </dxf>
    <dxf>
      <font>
        <color theme="3" tint="0.79998168889431442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numFmt numFmtId="167" formatCode="#,###"/>
    </dxf>
    <dxf>
      <numFmt numFmtId="167" formatCode="#,###"/>
    </dxf>
    <dxf>
      <numFmt numFmtId="167" formatCode="#,###"/>
    </dxf>
    <dxf>
      <font>
        <strike val="0"/>
        <color rgb="FFFFFF99"/>
      </font>
    </dxf>
    <dxf>
      <font>
        <b/>
        <i val="0"/>
        <strike val="0"/>
        <color rgb="FFFF0000"/>
      </font>
    </dxf>
    <dxf>
      <font>
        <strike val="0"/>
        <color rgb="FFFF0000"/>
      </font>
    </dxf>
    <dxf>
      <font>
        <strike val="0"/>
        <color rgb="FFCCFFCC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C99"/>
      </font>
    </dxf>
    <dxf>
      <font>
        <b/>
        <i val="0"/>
        <color auto="1"/>
      </font>
    </dxf>
    <dxf>
      <font>
        <color rgb="FFFFCC99"/>
      </font>
    </dxf>
    <dxf>
      <font>
        <color auto="1"/>
      </font>
    </dxf>
    <dxf>
      <font>
        <color rgb="FFFFCC99"/>
      </font>
    </dxf>
    <dxf>
      <font>
        <color auto="1"/>
      </font>
    </dxf>
    <dxf>
      <font>
        <color theme="3" tint="0.79998168889431442"/>
      </font>
    </dxf>
    <dxf>
      <font>
        <b/>
        <i val="0"/>
        <color auto="1"/>
      </font>
    </dxf>
    <dxf>
      <font>
        <color theme="3" tint="0.79998168889431442"/>
      </font>
    </dxf>
    <dxf>
      <font>
        <color auto="1"/>
      </font>
    </dxf>
    <dxf>
      <font>
        <color rgb="FFFFFF00"/>
      </font>
    </dxf>
    <dxf>
      <font>
        <color rgb="FFFFFF00"/>
      </font>
    </dxf>
    <dxf>
      <font>
        <color theme="3" tint="0.79998168889431442"/>
      </font>
    </dxf>
    <dxf>
      <font>
        <color auto="1"/>
      </font>
    </dxf>
    <dxf>
      <font>
        <color rgb="FFFFFF99"/>
      </font>
    </dxf>
    <dxf>
      <font>
        <b/>
        <i val="0"/>
        <color auto="1"/>
      </font>
    </dxf>
    <dxf>
      <fill>
        <patternFill>
          <fgColor rgb="FF92D050"/>
          <bgColor rgb="FFCCFFCC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</dxf>
    <dxf>
      <font>
        <color auto="1"/>
      </font>
    </dxf>
    <dxf>
      <font>
        <color rgb="FFCCFFCC"/>
      </font>
    </dxf>
    <dxf>
      <font>
        <condense val="0"/>
        <extend val="0"/>
        <color indexed="42"/>
      </font>
    </dxf>
    <dxf>
      <font>
        <b val="0"/>
        <i/>
        <strike val="0"/>
        <condense val="0"/>
        <extend val="0"/>
      </font>
      <fill>
        <patternFill>
          <bgColor indexed="3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CCFFCC"/>
      <color rgb="FFFFFF99"/>
      <color rgb="FFFFCC99"/>
      <color rgb="FF99CCFF"/>
      <color rgb="FFFFFFFF"/>
      <color rgb="FF000000"/>
      <color rgb="FF99FF66"/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0</xdr:row>
      <xdr:rowOff>19050</xdr:rowOff>
    </xdr:from>
    <xdr:to>
      <xdr:col>5</xdr:col>
      <xdr:colOff>1876425</xdr:colOff>
      <xdr:row>2</xdr:row>
      <xdr:rowOff>9525</xdr:rowOff>
    </xdr:to>
    <xdr:pic>
      <xdr:nvPicPr>
        <xdr:cNvPr id="1025" name="Picture 1" descr="ksw_Logo_f_brief_se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19050"/>
          <a:ext cx="1133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1323975</xdr:colOff>
      <xdr:row>0</xdr:row>
      <xdr:rowOff>0</xdr:rowOff>
    </xdr:from>
    <xdr:to>
      <xdr:col>2</xdr:col>
      <xdr:colOff>904875</xdr:colOff>
      <xdr:row>0</xdr:row>
      <xdr:rowOff>361950</xdr:rowOff>
    </xdr:to>
    <xdr:pic>
      <xdr:nvPicPr>
        <xdr:cNvPr id="2049" name="Picture 1" descr="ksw_Logo_f_brief_se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8025" y="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257175</xdr:colOff>
      <xdr:row>0</xdr:row>
      <xdr:rowOff>66675</xdr:rowOff>
    </xdr:from>
    <xdr:to>
      <xdr:col>5</xdr:col>
      <xdr:colOff>1343025</xdr:colOff>
      <xdr:row>2</xdr:row>
      <xdr:rowOff>123825</xdr:rowOff>
    </xdr:to>
    <xdr:pic>
      <xdr:nvPicPr>
        <xdr:cNvPr id="2050" name="Picture 1" descr="ksw_Logo_f_brief_se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0" y="66675"/>
          <a:ext cx="10858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38100</xdr:rowOff>
    </xdr:from>
    <xdr:to>
      <xdr:col>5</xdr:col>
      <xdr:colOff>1304925</xdr:colOff>
      <xdr:row>2</xdr:row>
      <xdr:rowOff>19050</xdr:rowOff>
    </xdr:to>
    <xdr:pic>
      <xdr:nvPicPr>
        <xdr:cNvPr id="3073" name="Picture 1" descr="ksw_Logo_f_brief_se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38100"/>
          <a:ext cx="11144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1323975</xdr:colOff>
      <xdr:row>0</xdr:row>
      <xdr:rowOff>38100</xdr:rowOff>
    </xdr:from>
    <xdr:to>
      <xdr:col>4</xdr:col>
      <xdr:colOff>1924050</xdr:colOff>
      <xdr:row>2</xdr:row>
      <xdr:rowOff>19050</xdr:rowOff>
    </xdr:to>
    <xdr:pic>
      <xdr:nvPicPr>
        <xdr:cNvPr id="4097" name="Picture 1" descr="ksw_Logo_f_brief_se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0375" y="3810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0</xdr:row>
      <xdr:rowOff>9525</xdr:rowOff>
    </xdr:from>
    <xdr:to>
      <xdr:col>5</xdr:col>
      <xdr:colOff>1362075</xdr:colOff>
      <xdr:row>2</xdr:row>
      <xdr:rowOff>28575</xdr:rowOff>
    </xdr:to>
    <xdr:pic>
      <xdr:nvPicPr>
        <xdr:cNvPr id="4098" name="Picture 1" descr="ksw_Logo_f_brief_se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0" y="9525"/>
          <a:ext cx="12192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H32"/>
  <sheetViews>
    <sheetView tabSelected="1" zoomScale="110" zoomScaleNormal="110" zoomScaleSheetLayoutView="100" workbookViewId="0"/>
  </sheetViews>
  <sheetFormatPr baseColWidth="10" defaultColWidth="11.42578125" defaultRowHeight="12.75" x14ac:dyDescent="0.2"/>
  <cols>
    <col min="1" max="1" width="50.7109375" bestFit="1" customWidth="1"/>
    <col min="2" max="2" width="8.85546875" bestFit="1" customWidth="1"/>
    <col min="3" max="3" width="48.85546875" customWidth="1"/>
    <col min="4" max="4" width="15.140625" customWidth="1"/>
    <col min="5" max="5" width="14.5703125" style="14" bestFit="1" customWidth="1"/>
    <col min="6" max="6" width="31.140625" bestFit="1" customWidth="1"/>
  </cols>
  <sheetData>
    <row r="1" spans="1:8" ht="30" x14ac:dyDescent="0.2">
      <c r="A1" s="246" t="s">
        <v>98</v>
      </c>
      <c r="B1" s="90"/>
      <c r="C1" s="90"/>
      <c r="D1" s="90"/>
      <c r="E1" s="90"/>
      <c r="F1" s="99"/>
      <c r="G1" s="61"/>
    </row>
    <row r="2" spans="1:8" ht="30" x14ac:dyDescent="0.2">
      <c r="A2" s="103"/>
      <c r="B2" s="94"/>
      <c r="C2" s="94"/>
      <c r="D2" s="94"/>
      <c r="E2" s="94"/>
      <c r="F2" s="100"/>
      <c r="G2" s="61"/>
    </row>
    <row r="3" spans="1:8" ht="14.25" customHeight="1" x14ac:dyDescent="0.2">
      <c r="A3" s="93"/>
      <c r="B3" s="94"/>
      <c r="C3" s="94"/>
      <c r="D3" s="94"/>
      <c r="E3" s="94"/>
      <c r="F3" s="100"/>
      <c r="G3" s="61"/>
    </row>
    <row r="4" spans="1:8" ht="24" customHeight="1" x14ac:dyDescent="0.2">
      <c r="A4" s="117" t="s">
        <v>70</v>
      </c>
      <c r="B4" s="285"/>
      <c r="C4" s="286"/>
      <c r="D4" s="287"/>
      <c r="E4" s="114" t="s">
        <v>69</v>
      </c>
      <c r="F4" s="247"/>
    </row>
    <row r="5" spans="1:8" ht="15" customHeight="1" x14ac:dyDescent="0.2">
      <c r="A5" s="93"/>
      <c r="B5" s="95"/>
      <c r="C5" s="95"/>
      <c r="D5" s="95"/>
      <c r="E5" s="95"/>
      <c r="F5" s="101"/>
    </row>
    <row r="6" spans="1:8" ht="24" customHeight="1" x14ac:dyDescent="0.2">
      <c r="A6" s="118" t="s">
        <v>67</v>
      </c>
      <c r="B6" s="282"/>
      <c r="C6" s="283"/>
      <c r="D6" s="284"/>
      <c r="E6" s="114" t="s">
        <v>68</v>
      </c>
      <c r="F6" s="247"/>
    </row>
    <row r="7" spans="1:8" ht="15" customHeight="1" thickBot="1" x14ac:dyDescent="0.25">
      <c r="A7" s="96"/>
      <c r="B7" s="62"/>
      <c r="C7" s="62"/>
      <c r="D7" s="62"/>
      <c r="E7" s="62"/>
      <c r="F7" s="102"/>
      <c r="G7" s="61"/>
      <c r="H7" s="61"/>
    </row>
    <row r="8" spans="1:8" ht="21" thickBot="1" x14ac:dyDescent="0.35">
      <c r="A8" s="271" t="s">
        <v>71</v>
      </c>
      <c r="B8" s="272"/>
      <c r="C8" s="273"/>
      <c r="D8" s="274" t="s">
        <v>60</v>
      </c>
      <c r="E8" s="275"/>
      <c r="F8" s="276"/>
    </row>
    <row r="9" spans="1:8" ht="30" x14ac:dyDescent="0.3">
      <c r="A9" s="66"/>
      <c r="B9" s="15"/>
      <c r="C9" s="15"/>
      <c r="D9" s="67" t="s">
        <v>64</v>
      </c>
      <c r="E9" s="68"/>
      <c r="F9" s="31"/>
    </row>
    <row r="10" spans="1:8" ht="14.25" customHeight="1" x14ac:dyDescent="0.2">
      <c r="A10" s="17"/>
      <c r="B10" s="16" t="s">
        <v>10</v>
      </c>
      <c r="C10" s="16" t="s">
        <v>61</v>
      </c>
      <c r="D10" s="16" t="s">
        <v>54</v>
      </c>
      <c r="E10" s="30"/>
      <c r="F10" s="31"/>
    </row>
    <row r="11" spans="1:8" ht="25.5" x14ac:dyDescent="0.25">
      <c r="A11" s="239" t="s">
        <v>52</v>
      </c>
      <c r="B11" s="240">
        <f>Arbeitsprozess!E40</f>
        <v>4.3271186440677969</v>
      </c>
      <c r="C11" s="253" t="s">
        <v>92</v>
      </c>
      <c r="D11" s="257">
        <v>0.25</v>
      </c>
      <c r="E11" s="70">
        <f>IF(OR(D11="",B11=0),"",B11*D11)</f>
        <v>1.0817796610169492</v>
      </c>
      <c r="F11" s="32" t="str">
        <f>IF(AND(B11=0,D11=""),"",IF(AND(D11&gt;=0.2,D11&lt;=0.3),"OK",IF(AND(B11&gt;0,D11=""),"Gewicht fehlt","Fehler beim Gewicht")))</f>
        <v>OK</v>
      </c>
    </row>
    <row r="12" spans="1:8" ht="15" x14ac:dyDescent="0.2">
      <c r="A12" s="69"/>
      <c r="B12" s="144"/>
      <c r="C12" s="254"/>
      <c r="D12" s="258"/>
      <c r="E12" s="263"/>
      <c r="F12" s="264"/>
    </row>
    <row r="13" spans="1:8" ht="25.5" customHeight="1" x14ac:dyDescent="0.2">
      <c r="A13" s="225" t="s">
        <v>56</v>
      </c>
      <c r="B13" s="226">
        <f>'Dokumentation und Produktion'!E30</f>
        <v>4.3075000000000001</v>
      </c>
      <c r="C13" s="253" t="s">
        <v>93</v>
      </c>
      <c r="D13" s="257">
        <v>0.45</v>
      </c>
      <c r="E13" s="70">
        <f>IF(OR(D13="",B13=0),"",B13*D13)</f>
        <v>1.9383750000000002</v>
      </c>
      <c r="F13" s="32" t="str">
        <f>IF(AND(B13=0,D13=""),"",IF(AND(D13&lt;=0.6,D13&gt;=0.2),"OK",IF(AND(B13&gt;0, D13=""),"Gewicht fehlt","Fehler beim Gewicht")))</f>
        <v>OK</v>
      </c>
    </row>
    <row r="14" spans="1:8" ht="25.5" x14ac:dyDescent="0.2">
      <c r="A14" s="225" t="s">
        <v>57</v>
      </c>
      <c r="B14" s="226">
        <f>'Dokumentation und Produktion'!E51</f>
        <v>0</v>
      </c>
      <c r="C14" s="253" t="s">
        <v>94</v>
      </c>
      <c r="D14" s="259"/>
      <c r="E14" s="70" t="str">
        <f>IF(OR(B14=0,D14=""),"",B14*D14)</f>
        <v/>
      </c>
      <c r="F14" s="32" t="str">
        <f>IF(AND(B14=0,D14=""),"",IF(AND(D14&lt;=0.4,D14&gt;0),"OK",IF(AND(B14&gt;0,D14=""),"Gewicht fehlt","Fehler beim Gewicht")))</f>
        <v/>
      </c>
    </row>
    <row r="15" spans="1:8" ht="26.25" customHeight="1" x14ac:dyDescent="0.25">
      <c r="A15" s="227" t="s">
        <v>83</v>
      </c>
      <c r="B15" s="228">
        <f>IF(OR(ISBLANK(B13),ISBLANK(D13)),"",(B13*D13+B14*D14)/(D13+D14))</f>
        <v>4.3075000000000001</v>
      </c>
      <c r="C15" s="253" t="s">
        <v>91</v>
      </c>
      <c r="D15" s="260">
        <f>IF(SUM(D13:D14)=0,"",D13+D14)</f>
        <v>0.45</v>
      </c>
      <c r="E15" s="70"/>
      <c r="F15" s="32" t="str">
        <f>IF(AND(B15=0,D15=""),"",IF(AND(D15&lt;=0.6,D15&gt;=0.4),"OK",IF(AND(B15&gt;0,D15=""),"Gewicht fehlt","Fehler beim Gewicht")))</f>
        <v>OK</v>
      </c>
    </row>
    <row r="16" spans="1:8" ht="17.25" customHeight="1" x14ac:dyDescent="0.25">
      <c r="A16" s="143"/>
      <c r="B16" s="145"/>
      <c r="C16" s="255"/>
      <c r="D16" s="261"/>
      <c r="E16" s="265"/>
      <c r="F16" s="266"/>
    </row>
    <row r="17" spans="1:6" ht="25.5" x14ac:dyDescent="0.2">
      <c r="A17" s="241" t="s">
        <v>53</v>
      </c>
      <c r="B17" s="242">
        <f>Präsentation!E28</f>
        <v>4.6769230769230772</v>
      </c>
      <c r="C17" s="253" t="s">
        <v>85</v>
      </c>
      <c r="D17" s="257">
        <v>0.2</v>
      </c>
      <c r="E17" s="70">
        <f>IF(OR(D17="",B17=0),"",B17*D17)</f>
        <v>0.93538461538461548</v>
      </c>
      <c r="F17" s="32" t="str">
        <f>IF(AND(B17=0,D17=""),"",IF(AND(D17&lt;=0.22,D17&gt;=0.12),"OK",IF(AND(B17&gt;0,D17=""),"Gewicht fehlt","Fehler beim Gewicht")))</f>
        <v>OK</v>
      </c>
    </row>
    <row r="18" spans="1:6" ht="25.5" customHeight="1" x14ac:dyDescent="0.2">
      <c r="A18" s="241" t="s">
        <v>55</v>
      </c>
      <c r="B18" s="242">
        <f>Präsentation!E41</f>
        <v>3.7826086956521738</v>
      </c>
      <c r="C18" s="253" t="s">
        <v>90</v>
      </c>
      <c r="D18" s="257">
        <v>0.1</v>
      </c>
      <c r="E18" s="70">
        <f>IF(OR(D18="",B18=0),"",B18*D18)</f>
        <v>0.37826086956521743</v>
      </c>
      <c r="F18" s="32" t="str">
        <f>IF(AND(B18=0,D18=""),"",IF(AND(D18&lt;=0.12,D18&gt;=0.08),"OK",IF(AND(B18&gt;0,D18=""),"Gewicht fehlt","Fehler beim Gewicht")))</f>
        <v>OK</v>
      </c>
    </row>
    <row r="19" spans="1:6" ht="26.25" customHeight="1" x14ac:dyDescent="0.25">
      <c r="A19" s="243" t="s">
        <v>84</v>
      </c>
      <c r="B19" s="244">
        <f>IF(OR(B17=0,B18=0,D17=0),"",(B17*D17+B18*D18)/(D17+D18))</f>
        <v>4.3788182831661091</v>
      </c>
      <c r="C19" s="256" t="s">
        <v>65</v>
      </c>
      <c r="D19" s="260">
        <f>IF(SUM(D18,D17,D14,D13,D11)=0,"",SUM(D11,D13,D14,D17,D18))</f>
        <v>0.99999999999999989</v>
      </c>
      <c r="E19" s="267"/>
      <c r="F19" s="269" t="str">
        <f>IF(AND(D18&gt;0,D14&gt;0,B14=0,B18&gt;0),"Fehlende Note Produktion","")</f>
        <v/>
      </c>
    </row>
    <row r="20" spans="1:6" ht="13.5" thickBot="1" x14ac:dyDescent="0.25">
      <c r="A20" s="17"/>
      <c r="B20" s="18"/>
      <c r="C20" s="64"/>
      <c r="D20" s="65"/>
      <c r="E20" s="268"/>
      <c r="F20" s="72"/>
    </row>
    <row r="21" spans="1:6" ht="26.25" customHeight="1" thickBot="1" x14ac:dyDescent="0.3">
      <c r="A21" s="17"/>
      <c r="B21" s="288" t="str">
        <f>IF(E21="","","Gesamtnote MATA ungerundet")</f>
        <v>Gesamtnote MATA ungerundet</v>
      </c>
      <c r="C21" s="289"/>
      <c r="D21" s="290"/>
      <c r="E21" s="250">
        <f>IF(AND(D14&gt;0,B14=0),"",IF(AND(SUM(D11,D13,D14,D17,D18)=1,F11="OK",F13="OK",OR(F14="OK",F14=""),F17="OK",F18="OK",B11&gt;0,B13&gt;0,B17&gt;0,B18&gt;0),SUM(E11,E13,E14,E17,E18),""))</f>
        <v>4.3338001459667819</v>
      </c>
      <c r="F21" s="31"/>
    </row>
    <row r="22" spans="1:6" ht="32.25" customHeight="1" thickBot="1" x14ac:dyDescent="0.4">
      <c r="A22" s="17"/>
      <c r="B22" s="277" t="str">
        <f>IF(E22="","","Gesamtnote MATA gerundet")</f>
        <v>Gesamtnote MATA gerundet</v>
      </c>
      <c r="C22" s="278"/>
      <c r="D22" s="279"/>
      <c r="E22" s="245">
        <f>IF(E21="","",ROUND(2*E21,0)/2)</f>
        <v>4.5</v>
      </c>
      <c r="F22" s="72"/>
    </row>
    <row r="23" spans="1:6" ht="35.25" customHeight="1" x14ac:dyDescent="0.2">
      <c r="A23" s="270" t="s">
        <v>66</v>
      </c>
      <c r="B23" s="291" t="str">
        <f>IF(OR(ISBLANK(D11),ISBLANK(D13),ISBLANK(D17)),"",IF(D19=0.08,"",IF(OR(D19&lt;&gt;1,F11="Fehler beim Gewicht",F14="Fehler beim Gewicht",F17="Fehler beim Gewicht"),"Die Summe der Gewichte ist ungleich 100% oder Gewichte entsprechen nicht den Vorgaben!","")))</f>
        <v/>
      </c>
      <c r="C23" s="291"/>
      <c r="D23" s="291"/>
      <c r="E23" s="291"/>
      <c r="F23" s="72"/>
    </row>
    <row r="24" spans="1:6" ht="35.25" customHeight="1" x14ac:dyDescent="0.2">
      <c r="A24" s="270"/>
      <c r="B24" s="291"/>
      <c r="C24" s="291"/>
      <c r="D24" s="291"/>
      <c r="E24" s="291"/>
      <c r="F24" s="72"/>
    </row>
    <row r="25" spans="1:6" ht="13.5" thickBot="1" x14ac:dyDescent="0.25">
      <c r="A25" s="71"/>
      <c r="B25" s="73"/>
      <c r="C25" s="73"/>
      <c r="D25" s="73"/>
      <c r="E25" s="74"/>
      <c r="F25" s="75"/>
    </row>
    <row r="26" spans="1:6" x14ac:dyDescent="0.2">
      <c r="A26" s="124"/>
      <c r="B26" s="91"/>
      <c r="C26" s="91"/>
      <c r="D26" s="91"/>
      <c r="E26" s="125"/>
      <c r="F26" s="92"/>
    </row>
    <row r="27" spans="1:6" ht="14.25" x14ac:dyDescent="0.2">
      <c r="A27" s="135" t="s">
        <v>75</v>
      </c>
      <c r="B27" s="127" t="s">
        <v>74</v>
      </c>
      <c r="C27" s="76">
        <f ca="1">TODAY()</f>
        <v>41166</v>
      </c>
      <c r="D27" s="128"/>
      <c r="E27" s="129"/>
      <c r="F27" s="130"/>
    </row>
    <row r="28" spans="1:6" ht="14.25" x14ac:dyDescent="0.2">
      <c r="A28" s="126"/>
      <c r="B28" s="127"/>
      <c r="C28" s="127"/>
      <c r="D28" s="128"/>
      <c r="E28" s="129"/>
      <c r="F28" s="130"/>
    </row>
    <row r="29" spans="1:6" ht="14.25" x14ac:dyDescent="0.2">
      <c r="A29" s="126"/>
      <c r="B29" s="127"/>
      <c r="C29" s="127"/>
      <c r="D29" s="128"/>
      <c r="E29" s="129"/>
      <c r="F29" s="130"/>
    </row>
    <row r="30" spans="1:6" ht="14.25" x14ac:dyDescent="0.2">
      <c r="A30" s="135" t="s">
        <v>72</v>
      </c>
      <c r="B30" s="280"/>
      <c r="C30" s="280"/>
      <c r="D30" s="127" t="s">
        <v>73</v>
      </c>
      <c r="E30" s="280"/>
      <c r="F30" s="281"/>
    </row>
    <row r="31" spans="1:6" ht="14.25" x14ac:dyDescent="0.2">
      <c r="A31" s="126"/>
      <c r="B31" s="127"/>
      <c r="C31" s="127"/>
      <c r="D31" s="128"/>
      <c r="E31" s="129"/>
      <c r="F31" s="130"/>
    </row>
    <row r="32" spans="1:6" ht="15" thickBot="1" x14ac:dyDescent="0.25">
      <c r="A32" s="136" t="s">
        <v>76</v>
      </c>
      <c r="B32" s="77"/>
      <c r="C32" s="77"/>
      <c r="D32" s="78"/>
      <c r="E32" s="79"/>
      <c r="F32" s="131"/>
    </row>
  </sheetData>
  <sheetProtection password="D1C2" sheet="1" objects="1" scenarios="1"/>
  <mergeCells count="10">
    <mergeCell ref="B6:D6"/>
    <mergeCell ref="B4:D4"/>
    <mergeCell ref="B21:D21"/>
    <mergeCell ref="B23:E24"/>
    <mergeCell ref="A23:A24"/>
    <mergeCell ref="A8:C8"/>
    <mergeCell ref="D8:F8"/>
    <mergeCell ref="B22:D22"/>
    <mergeCell ref="B30:C30"/>
    <mergeCell ref="E30:F30"/>
  </mergeCells>
  <phoneticPr fontId="2" type="noConversion"/>
  <conditionalFormatting sqref="B23:E24">
    <cfRule type="cellIs" dxfId="63" priority="81" stopIfTrue="1" operator="equal">
      <formula>"Die Summe der Gewichte ist ungleich 100% oder Gewichte entsprechen nicht den Vorgaben!"</formula>
    </cfRule>
  </conditionalFormatting>
  <conditionalFormatting sqref="E13">
    <cfRule type="cellIs" dxfId="62" priority="84" stopIfTrue="1" operator="equal">
      <formula>0</formula>
    </cfRule>
  </conditionalFormatting>
  <conditionalFormatting sqref="D19">
    <cfRule type="cellIs" dxfId="61" priority="32" operator="equal">
      <formula>0.08</formula>
    </cfRule>
    <cfRule type="cellIs" dxfId="60" priority="105" stopIfTrue="1" operator="equal">
      <formula>1</formula>
    </cfRule>
    <cfRule type="cellIs" dxfId="59" priority="106" stopIfTrue="1" operator="notEqual">
      <formula>1</formula>
    </cfRule>
  </conditionalFormatting>
  <conditionalFormatting sqref="B21:D21">
    <cfRule type="cellIs" dxfId="58" priority="68" operator="greaterThan">
      <formula>0</formula>
    </cfRule>
    <cfRule type="cellIs" dxfId="57" priority="69" operator="equal">
      <formula>""</formula>
    </cfRule>
  </conditionalFormatting>
  <conditionalFormatting sqref="J13">
    <cfRule type="cellIs" priority="55" operator="greaterThan">
      <formula>0</formula>
    </cfRule>
  </conditionalFormatting>
  <conditionalFormatting sqref="B11">
    <cfRule type="expression" dxfId="56" priority="21">
      <formula>$B$11&gt;0</formula>
    </cfRule>
    <cfRule type="expression" dxfId="55" priority="37">
      <formula>$B$11=0</formula>
    </cfRule>
  </conditionalFormatting>
  <conditionalFormatting sqref="B14">
    <cfRule type="expression" dxfId="54" priority="19">
      <formula>$B$14&gt;0</formula>
    </cfRule>
    <cfRule type="expression" dxfId="53" priority="28">
      <formula>$B$14=0</formula>
    </cfRule>
  </conditionalFormatting>
  <conditionalFormatting sqref="E21">
    <cfRule type="cellIs" dxfId="52" priority="34" operator="equal">
      <formula>0</formula>
    </cfRule>
  </conditionalFormatting>
  <conditionalFormatting sqref="E22">
    <cfRule type="cellIs" dxfId="51" priority="33" operator="equal">
      <formula>0</formula>
    </cfRule>
  </conditionalFormatting>
  <conditionalFormatting sqref="B13">
    <cfRule type="expression" dxfId="50" priority="20">
      <formula>$B$13&gt;0</formula>
    </cfRule>
    <cfRule type="expression" dxfId="49" priority="23">
      <formula>$B$13=0</formula>
    </cfRule>
  </conditionalFormatting>
  <conditionalFormatting sqref="B15">
    <cfRule type="expression" dxfId="48" priority="18">
      <formula>$B$15&gt;0</formula>
    </cfRule>
    <cfRule type="expression" dxfId="47" priority="22">
      <formula>$B$15=0</formula>
    </cfRule>
  </conditionalFormatting>
  <conditionalFormatting sqref="B17">
    <cfRule type="expression" dxfId="46" priority="16">
      <formula>$B$17&gt;0</formula>
    </cfRule>
    <cfRule type="expression" dxfId="45" priority="17">
      <formula>$B$17=0</formula>
    </cfRule>
  </conditionalFormatting>
  <conditionalFormatting sqref="B18">
    <cfRule type="expression" dxfId="44" priority="14">
      <formula>$B$18&gt;0</formula>
    </cfRule>
    <cfRule type="expression" dxfId="43" priority="15">
      <formula>$B$18=0</formula>
    </cfRule>
  </conditionalFormatting>
  <conditionalFormatting sqref="B19">
    <cfRule type="expression" dxfId="42" priority="12">
      <formula>$B$19&gt;0</formula>
    </cfRule>
    <cfRule type="expression" dxfId="41" priority="13">
      <formula>$B$19=0</formula>
    </cfRule>
  </conditionalFormatting>
  <conditionalFormatting sqref="F11">
    <cfRule type="expression" dxfId="40" priority="10">
      <formula>OR($F$11="Fehler beim Gewicht",$F$11="Gewicht fehlt")</formula>
    </cfRule>
  </conditionalFormatting>
  <conditionalFormatting sqref="F14">
    <cfRule type="expression" dxfId="39" priority="8">
      <formula>OR($F$14="Fehler beim Gewicht",$F$14="Gewicht fehlt")</formula>
    </cfRule>
  </conditionalFormatting>
  <conditionalFormatting sqref="F13">
    <cfRule type="expression" dxfId="38" priority="6" stopIfTrue="1">
      <formula>OR($F$13="Fehler beim Gewicht",$F$13="Gewicht fehlt")</formula>
    </cfRule>
  </conditionalFormatting>
  <conditionalFormatting sqref="F17">
    <cfRule type="expression" dxfId="37" priority="5">
      <formula>OR($F$17="Fehler beim Gewicht",$F$17="Gewicht fehlt")</formula>
    </cfRule>
  </conditionalFormatting>
  <conditionalFormatting sqref="F15">
    <cfRule type="expression" dxfId="36" priority="4">
      <formula>OR($F$15="Fehler beim Gewicht",$F$15="Gewicht fehlt")</formula>
    </cfRule>
    <cfRule type="expression" dxfId="35" priority="2">
      <formula>D15=""</formula>
    </cfRule>
  </conditionalFormatting>
  <conditionalFormatting sqref="F18">
    <cfRule type="expression" dxfId="34" priority="3">
      <formula>OR($F$18="Fehler beim Gewicht",$F$18="Gewicht fehlt")</formula>
    </cfRule>
  </conditionalFormatting>
  <conditionalFormatting sqref="F19">
    <cfRule type="expression" dxfId="33" priority="1">
      <formula>$F$19="Fehlende Note Produktion"</formula>
    </cfRule>
  </conditionalFormatting>
  <pageMargins left="0.75" right="0.75" top="0.5" bottom="0.47" header="0.4921259845" footer="0.4921259845"/>
  <pageSetup paperSize="9" scale="7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</sheetPr>
  <dimension ref="A1:L40"/>
  <sheetViews>
    <sheetView topLeftCell="A7" zoomScale="75" zoomScaleNormal="75" zoomScaleSheetLayoutView="75" zoomScalePageLayoutView="75" workbookViewId="0">
      <selection activeCell="C33" sqref="C33"/>
    </sheetView>
  </sheetViews>
  <sheetFormatPr baseColWidth="10" defaultColWidth="11.42578125" defaultRowHeight="12.75" x14ac:dyDescent="0.2"/>
  <cols>
    <col min="1" max="1" width="49.85546875" bestFit="1" customWidth="1"/>
    <col min="2" max="2" width="47.28515625" customWidth="1"/>
    <col min="3" max="3" width="13.5703125" bestFit="1" customWidth="1"/>
    <col min="4" max="4" width="19.85546875" customWidth="1"/>
    <col min="5" max="5" width="8.7109375" customWidth="1"/>
    <col min="6" max="6" width="25.28515625" style="156" bestFit="1" customWidth="1"/>
    <col min="7" max="7" width="37.42578125" style="2" customWidth="1"/>
    <col min="8" max="12" width="11.42578125" style="2"/>
  </cols>
  <sheetData>
    <row r="1" spans="1:7" ht="30" x14ac:dyDescent="0.2">
      <c r="A1" s="89" t="str">
        <f>Zusammenzug!A1</f>
        <v>MATA 2012-2014</v>
      </c>
      <c r="B1" s="90"/>
      <c r="C1" s="90"/>
      <c r="D1" s="91"/>
      <c r="E1" s="91"/>
      <c r="F1" s="146"/>
    </row>
    <row r="2" spans="1:7" ht="30" x14ac:dyDescent="0.2">
      <c r="A2" s="103"/>
      <c r="B2" s="94"/>
      <c r="C2" s="94"/>
      <c r="D2" s="2"/>
      <c r="E2" s="2"/>
      <c r="F2" s="147"/>
    </row>
    <row r="3" spans="1:7" ht="15" customHeight="1" x14ac:dyDescent="0.2">
      <c r="A3" s="93"/>
      <c r="B3" s="94"/>
      <c r="C3" s="94"/>
      <c r="D3" s="2"/>
      <c r="E3" s="2"/>
      <c r="F3" s="147"/>
    </row>
    <row r="4" spans="1:7" ht="24" customHeight="1" x14ac:dyDescent="0.2">
      <c r="A4" s="116" t="s">
        <v>70</v>
      </c>
      <c r="B4" s="301" t="str">
        <f>IF(Zusammenzug!B4="","",Zusammenzug!B4)</f>
        <v/>
      </c>
      <c r="C4" s="302"/>
      <c r="D4" s="303"/>
      <c r="E4" s="249" t="s">
        <v>69</v>
      </c>
      <c r="F4" s="248" t="str">
        <f>IF(Zusammenzug!F4="","",Zusammenzug!F4)</f>
        <v/>
      </c>
    </row>
    <row r="5" spans="1:7" ht="15" customHeight="1" x14ac:dyDescent="0.25">
      <c r="A5" s="115"/>
      <c r="B5" s="95"/>
      <c r="C5" s="95"/>
      <c r="D5" s="2"/>
      <c r="E5" s="2"/>
      <c r="F5" s="148"/>
    </row>
    <row r="6" spans="1:7" ht="24" customHeight="1" x14ac:dyDescent="0.2">
      <c r="A6" s="116" t="s">
        <v>67</v>
      </c>
      <c r="B6" s="304" t="str">
        <f>IF(Zusammenzug!B6="","",Zusammenzug!B6)</f>
        <v/>
      </c>
      <c r="C6" s="305"/>
      <c r="D6" s="306"/>
      <c r="E6" s="249" t="s">
        <v>68</v>
      </c>
      <c r="F6" s="248" t="str">
        <f>IF(Zusammenzug!F6="","",Zusammenzug!F6)</f>
        <v/>
      </c>
    </row>
    <row r="7" spans="1:7" ht="15" customHeight="1" thickBot="1" x14ac:dyDescent="0.25">
      <c r="A7" s="96"/>
      <c r="B7" s="62"/>
      <c r="C7" s="62"/>
      <c r="D7" s="63"/>
      <c r="E7" s="63"/>
      <c r="F7" s="149"/>
    </row>
    <row r="8" spans="1:7" ht="27" thickBot="1" x14ac:dyDescent="0.45">
      <c r="A8" s="298" t="s">
        <v>77</v>
      </c>
      <c r="B8" s="299"/>
      <c r="C8" s="299"/>
      <c r="D8" s="299"/>
      <c r="E8" s="299"/>
      <c r="F8" s="300"/>
    </row>
    <row r="9" spans="1:7" ht="28.5" x14ac:dyDescent="0.4">
      <c r="A9" s="80"/>
      <c r="B9" s="81"/>
      <c r="C9" s="82" t="s">
        <v>62</v>
      </c>
      <c r="D9" s="82" t="s">
        <v>80</v>
      </c>
      <c r="E9" s="83"/>
      <c r="F9" s="150"/>
    </row>
    <row r="10" spans="1:7" ht="14.25" customHeight="1" x14ac:dyDescent="0.2">
      <c r="A10" s="27"/>
      <c r="B10" s="24"/>
      <c r="C10" s="19" t="s">
        <v>10</v>
      </c>
      <c r="D10" s="19" t="s">
        <v>11</v>
      </c>
      <c r="E10" s="84" t="s">
        <v>12</v>
      </c>
      <c r="F10" s="151"/>
      <c r="G10" s="7"/>
    </row>
    <row r="11" spans="1:7" ht="29.25" customHeight="1" x14ac:dyDescent="0.25">
      <c r="A11" s="52"/>
      <c r="B11" s="53" t="s">
        <v>31</v>
      </c>
      <c r="C11" s="20" t="s">
        <v>13</v>
      </c>
      <c r="D11" s="21" t="s">
        <v>47</v>
      </c>
      <c r="E11" s="85"/>
      <c r="F11" s="151"/>
      <c r="G11" s="6"/>
    </row>
    <row r="12" spans="1:7" ht="18" customHeight="1" x14ac:dyDescent="0.2">
      <c r="A12" s="295" t="s">
        <v>0</v>
      </c>
      <c r="B12" s="137" t="s">
        <v>21</v>
      </c>
      <c r="C12" s="132">
        <v>5.2</v>
      </c>
      <c r="D12" s="132">
        <v>4.5</v>
      </c>
      <c r="E12" s="86">
        <f>IF(AND(C12="",D12=""),"",IF(OR(D12&gt;5,D12&lt;0),"#####",IF(ISBLANK(C12),0,IF(OR(C12&gt;6,C12&lt;1),"#####",C12*D12))))</f>
        <v>23.400000000000002</v>
      </c>
      <c r="F12" s="262" t="str">
        <f>IF(E12="#####","Fehler!",IF(AND(C12&lt;&gt;"",D12=""),"zuerst Gewicht eingeben",""))</f>
        <v/>
      </c>
      <c r="G12" s="6"/>
    </row>
    <row r="13" spans="1:7" ht="18" customHeight="1" x14ac:dyDescent="0.2">
      <c r="A13" s="296"/>
      <c r="B13" s="137" t="s">
        <v>32</v>
      </c>
      <c r="C13" s="132">
        <v>5.5</v>
      </c>
      <c r="D13" s="132">
        <v>3.5</v>
      </c>
      <c r="E13" s="86">
        <f t="shared" ref="E13:E33" si="0">IF(AND(C13="",D13=""),"",IF(OR(D13&gt;5,D13&lt;0),"#####",IF(ISBLANK(C13),0,IF(OR(C13&gt;6,C13&lt;1),"#####",C13*D13))))</f>
        <v>19.25</v>
      </c>
      <c r="F13" s="262" t="str">
        <f t="shared" ref="F13:F33" si="1">IF(E13="#####","Fehler!",IF(AND(C13&lt;&gt;"",D13=""),"zuerst Gewicht eingeben",""))</f>
        <v/>
      </c>
      <c r="G13" s="7"/>
    </row>
    <row r="14" spans="1:7" ht="18" customHeight="1" x14ac:dyDescent="0.2">
      <c r="A14" s="297"/>
      <c r="B14" s="138" t="s">
        <v>95</v>
      </c>
      <c r="C14" s="252">
        <v>4</v>
      </c>
      <c r="D14" s="132">
        <v>2</v>
      </c>
      <c r="E14" s="86">
        <f t="shared" si="0"/>
        <v>8</v>
      </c>
      <c r="F14" s="262" t="str">
        <f t="shared" si="1"/>
        <v/>
      </c>
    </row>
    <row r="15" spans="1:7" ht="24" customHeight="1" x14ac:dyDescent="0.2">
      <c r="A15" s="27"/>
      <c r="B15" s="53" t="s">
        <v>31</v>
      </c>
      <c r="C15" s="55"/>
      <c r="D15" s="55"/>
      <c r="E15" s="86"/>
      <c r="F15" s="151"/>
    </row>
    <row r="16" spans="1:7" ht="18" customHeight="1" x14ac:dyDescent="0.2">
      <c r="A16" s="295" t="s">
        <v>1</v>
      </c>
      <c r="B16" s="137" t="s">
        <v>21</v>
      </c>
      <c r="C16" s="132">
        <v>4</v>
      </c>
      <c r="D16" s="132">
        <v>2.5</v>
      </c>
      <c r="E16" s="86">
        <f t="shared" si="0"/>
        <v>10</v>
      </c>
      <c r="F16" s="262" t="str">
        <f t="shared" si="1"/>
        <v/>
      </c>
    </row>
    <row r="17" spans="1:12" ht="18" customHeight="1" x14ac:dyDescent="0.2">
      <c r="A17" s="296"/>
      <c r="B17" s="137" t="s">
        <v>22</v>
      </c>
      <c r="C17" s="132">
        <v>4.5</v>
      </c>
      <c r="D17" s="132">
        <v>2.5</v>
      </c>
      <c r="E17" s="86">
        <f t="shared" si="0"/>
        <v>11.25</v>
      </c>
      <c r="F17" s="262" t="str">
        <f t="shared" si="1"/>
        <v/>
      </c>
    </row>
    <row r="18" spans="1:12" ht="18" customHeight="1" x14ac:dyDescent="0.2">
      <c r="A18" s="296"/>
      <c r="B18" s="137" t="s">
        <v>23</v>
      </c>
      <c r="C18" s="132">
        <v>5</v>
      </c>
      <c r="D18" s="132">
        <v>2.5</v>
      </c>
      <c r="E18" s="86">
        <f t="shared" si="0"/>
        <v>12.5</v>
      </c>
      <c r="F18" s="262" t="str">
        <f t="shared" si="1"/>
        <v/>
      </c>
    </row>
    <row r="19" spans="1:12" ht="17.25" customHeight="1" x14ac:dyDescent="0.2">
      <c r="A19" s="296"/>
      <c r="B19" s="138"/>
      <c r="C19" s="132"/>
      <c r="D19" s="132"/>
      <c r="E19" s="86" t="str">
        <f t="shared" si="0"/>
        <v/>
      </c>
      <c r="F19" s="262" t="str">
        <f t="shared" si="1"/>
        <v/>
      </c>
    </row>
    <row r="20" spans="1:12" ht="24" customHeight="1" x14ac:dyDescent="0.2">
      <c r="A20" s="27"/>
      <c r="B20" s="57" t="s">
        <v>31</v>
      </c>
      <c r="C20" s="23"/>
      <c r="D20" s="23"/>
      <c r="E20" s="86"/>
      <c r="F20" s="151"/>
    </row>
    <row r="21" spans="1:12" ht="18" customHeight="1" x14ac:dyDescent="0.25">
      <c r="A21" s="56" t="s">
        <v>14</v>
      </c>
      <c r="B21" s="137" t="s">
        <v>33</v>
      </c>
      <c r="C21" s="132">
        <v>4.5</v>
      </c>
      <c r="D21" s="132">
        <v>1</v>
      </c>
      <c r="E21" s="86">
        <f t="shared" si="0"/>
        <v>4.5</v>
      </c>
      <c r="F21" s="262" t="str">
        <f t="shared" si="1"/>
        <v/>
      </c>
    </row>
    <row r="22" spans="1:12" ht="18" customHeight="1" x14ac:dyDescent="0.2">
      <c r="A22" s="307" t="s">
        <v>2</v>
      </c>
      <c r="B22" s="139" t="s">
        <v>34</v>
      </c>
      <c r="C22" s="133">
        <v>4</v>
      </c>
      <c r="D22" s="133">
        <v>1</v>
      </c>
      <c r="E22" s="86">
        <f t="shared" si="0"/>
        <v>4</v>
      </c>
      <c r="F22" s="262" t="str">
        <f t="shared" si="1"/>
        <v/>
      </c>
    </row>
    <row r="23" spans="1:12" ht="18" customHeight="1" x14ac:dyDescent="0.2">
      <c r="A23" s="308"/>
      <c r="B23" s="138"/>
      <c r="C23" s="132"/>
      <c r="D23" s="132"/>
      <c r="E23" s="86" t="str">
        <f t="shared" si="0"/>
        <v/>
      </c>
      <c r="F23" s="262" t="str">
        <f t="shared" si="1"/>
        <v/>
      </c>
    </row>
    <row r="24" spans="1:12" ht="17.25" customHeight="1" x14ac:dyDescent="0.2">
      <c r="A24" s="309" t="s">
        <v>4</v>
      </c>
      <c r="B24" s="137" t="s">
        <v>33</v>
      </c>
      <c r="C24" s="132">
        <v>5.5</v>
      </c>
      <c r="D24" s="132">
        <v>1</v>
      </c>
      <c r="E24" s="86">
        <f t="shared" si="0"/>
        <v>5.5</v>
      </c>
      <c r="F24" s="262" t="str">
        <f t="shared" si="1"/>
        <v/>
      </c>
    </row>
    <row r="25" spans="1:12" ht="18" customHeight="1" x14ac:dyDescent="0.2">
      <c r="A25" s="307"/>
      <c r="B25" s="139" t="s">
        <v>34</v>
      </c>
      <c r="C25" s="133">
        <v>5</v>
      </c>
      <c r="D25" s="133">
        <v>1</v>
      </c>
      <c r="E25" s="86">
        <f t="shared" si="0"/>
        <v>5</v>
      </c>
      <c r="F25" s="262" t="str">
        <f t="shared" si="1"/>
        <v/>
      </c>
    </row>
    <row r="26" spans="1:12" ht="18" customHeight="1" x14ac:dyDescent="0.2">
      <c r="A26" s="308"/>
      <c r="B26" s="138"/>
      <c r="C26" s="133"/>
      <c r="D26" s="133"/>
      <c r="E26" s="86" t="str">
        <f t="shared" si="0"/>
        <v/>
      </c>
      <c r="F26" s="262" t="str">
        <f t="shared" si="1"/>
        <v/>
      </c>
    </row>
    <row r="27" spans="1:12" ht="24" customHeight="1" x14ac:dyDescent="0.2">
      <c r="A27" s="97"/>
      <c r="B27" s="54"/>
      <c r="C27" s="23"/>
      <c r="D27" s="23"/>
      <c r="E27" s="86"/>
      <c r="F27" s="151"/>
    </row>
    <row r="28" spans="1:12" s="1" customFormat="1" ht="33" customHeight="1" x14ac:dyDescent="0.3">
      <c r="A28" s="295" t="s">
        <v>15</v>
      </c>
      <c r="B28" s="140" t="s">
        <v>46</v>
      </c>
      <c r="C28" s="132">
        <v>5</v>
      </c>
      <c r="D28" s="132">
        <v>3</v>
      </c>
      <c r="E28" s="86">
        <f t="shared" si="0"/>
        <v>15</v>
      </c>
      <c r="F28" s="262" t="str">
        <f t="shared" si="1"/>
        <v/>
      </c>
      <c r="G28" s="9"/>
      <c r="H28" s="9"/>
      <c r="I28" s="9"/>
      <c r="J28" s="9"/>
      <c r="K28" s="9"/>
      <c r="L28" s="9"/>
    </row>
    <row r="29" spans="1:12" ht="17.25" customHeight="1" x14ac:dyDescent="0.2">
      <c r="A29" s="297"/>
      <c r="B29" s="141"/>
      <c r="C29" s="132"/>
      <c r="D29" s="132"/>
      <c r="E29" s="86" t="str">
        <f t="shared" si="0"/>
        <v/>
      </c>
      <c r="F29" s="262" t="str">
        <f t="shared" si="1"/>
        <v/>
      </c>
    </row>
    <row r="30" spans="1:12" ht="24" customHeight="1" x14ac:dyDescent="0.3">
      <c r="A30" s="58"/>
      <c r="B30" s="53" t="s">
        <v>31</v>
      </c>
      <c r="C30" s="23"/>
      <c r="D30" s="25"/>
      <c r="E30" s="86"/>
      <c r="F30" s="151" t="str">
        <f t="shared" si="1"/>
        <v/>
      </c>
    </row>
    <row r="31" spans="1:12" ht="18" customHeight="1" x14ac:dyDescent="0.2">
      <c r="A31" s="295" t="s">
        <v>16</v>
      </c>
      <c r="B31" s="137" t="s">
        <v>35</v>
      </c>
      <c r="C31" s="132">
        <v>4.5</v>
      </c>
      <c r="D31" s="132">
        <v>2</v>
      </c>
      <c r="E31" s="86">
        <f t="shared" si="0"/>
        <v>9</v>
      </c>
      <c r="F31" s="262" t="str">
        <f t="shared" si="1"/>
        <v/>
      </c>
    </row>
    <row r="32" spans="1:12" ht="18" customHeight="1" x14ac:dyDescent="0.2">
      <c r="A32" s="296"/>
      <c r="B32" s="139" t="s">
        <v>36</v>
      </c>
      <c r="C32" s="133">
        <v>5</v>
      </c>
      <c r="D32" s="133">
        <v>3</v>
      </c>
      <c r="E32" s="86">
        <f t="shared" si="0"/>
        <v>15</v>
      </c>
      <c r="F32" s="262" t="str">
        <f t="shared" si="1"/>
        <v/>
      </c>
    </row>
    <row r="33" spans="1:6" ht="18" customHeight="1" x14ac:dyDescent="0.2">
      <c r="A33" s="297"/>
      <c r="B33" s="138"/>
      <c r="C33" s="132"/>
      <c r="D33" s="132"/>
      <c r="E33" s="86" t="str">
        <f t="shared" si="0"/>
        <v/>
      </c>
      <c r="F33" s="262" t="str">
        <f t="shared" si="1"/>
        <v/>
      </c>
    </row>
    <row r="34" spans="1:6" ht="24" customHeight="1" x14ac:dyDescent="0.2">
      <c r="A34" s="27"/>
      <c r="B34" s="24"/>
      <c r="C34" s="24"/>
      <c r="D34" s="24"/>
      <c r="E34" s="24"/>
      <c r="F34" s="152"/>
    </row>
    <row r="35" spans="1:6" ht="18" x14ac:dyDescent="0.25">
      <c r="A35" s="28" t="s">
        <v>50</v>
      </c>
      <c r="B35" s="238" t="s">
        <v>88</v>
      </c>
      <c r="C35" s="293">
        <v>0.5</v>
      </c>
      <c r="D35" s="293"/>
      <c r="E35" s="294"/>
      <c r="F35" s="152"/>
    </row>
    <row r="36" spans="1:6" ht="24" customHeight="1" x14ac:dyDescent="0.2">
      <c r="A36" s="27"/>
      <c r="B36" s="24"/>
      <c r="C36" s="24"/>
      <c r="D36" s="98"/>
      <c r="E36" s="24"/>
      <c r="F36" s="153"/>
    </row>
    <row r="37" spans="1:6" ht="15" customHeight="1" x14ac:dyDescent="0.2">
      <c r="A37" s="27"/>
      <c r="B37" s="22" t="s">
        <v>48</v>
      </c>
      <c r="C37" s="26">
        <f>(SUMIF(C$31:C$33,"&gt;=0",D$31:D$33)+SUMIF(C$28:C$29,"&gt;=0",D$28:D$29)+SUMIF(C$21:C$26,"&gt;=0",D$21:D$26)+SUMIF(C$16:C$19,"&gt;=0",D$16:D$19)+SUMIF(C$12:C$14,"&gt;=0",D$12:D$14))*6</f>
        <v>177</v>
      </c>
      <c r="D37" s="24"/>
      <c r="E37" s="24"/>
      <c r="F37" s="154"/>
    </row>
    <row r="38" spans="1:6" ht="14.25" customHeight="1" x14ac:dyDescent="0.2">
      <c r="A38" s="27"/>
      <c r="B38" s="22" t="s">
        <v>49</v>
      </c>
      <c r="C38" s="26">
        <f>(SUMIF(C$31:C$33,"&gt;=0",D$31:D$33)+SUMIF(C$28:C$29,"&gt;=0",D$28:D$29)+SUMIF(C$21:C$26,"&gt;=0",D$21:D$26)+SUMIF(C$16:C$19,"&gt;=0",D$16:D$19)+SUMIF(C$12:C$14,"&gt;=0",D$12:D$14))*1</f>
        <v>29.5</v>
      </c>
      <c r="D38" s="22" t="s">
        <v>59</v>
      </c>
      <c r="E38" s="87">
        <f>SUM(E12:E14,E16:E19,E21:E23,E24:E26,E28:E29,E31:E33)</f>
        <v>142.4</v>
      </c>
      <c r="F38" s="152"/>
    </row>
    <row r="39" spans="1:6" x14ac:dyDescent="0.2">
      <c r="A39" s="27"/>
      <c r="B39" s="24"/>
      <c r="C39" s="24"/>
      <c r="D39" s="24"/>
      <c r="E39" s="24"/>
      <c r="F39" s="152"/>
    </row>
    <row r="40" spans="1:6" ht="24" customHeight="1" thickBot="1" x14ac:dyDescent="0.35">
      <c r="A40" s="29"/>
      <c r="B40" s="292" t="s">
        <v>58</v>
      </c>
      <c r="C40" s="292"/>
      <c r="D40" s="292"/>
      <c r="E40" s="88">
        <f>IF(C35&gt;3,1,IF(C38=0,0,E38/C38-C35))</f>
        <v>4.3271186440677969</v>
      </c>
      <c r="F40" s="155"/>
    </row>
  </sheetData>
  <sheetProtection password="D1C2" sheet="1" objects="1" scenarios="1"/>
  <mergeCells count="11">
    <mergeCell ref="B40:D40"/>
    <mergeCell ref="C35:E35"/>
    <mergeCell ref="A12:A14"/>
    <mergeCell ref="A8:F8"/>
    <mergeCell ref="B4:D4"/>
    <mergeCell ref="B6:D6"/>
    <mergeCell ref="A31:A33"/>
    <mergeCell ref="A16:A19"/>
    <mergeCell ref="A22:A23"/>
    <mergeCell ref="A24:A26"/>
    <mergeCell ref="A28:A29"/>
  </mergeCells>
  <phoneticPr fontId="2" type="noConversion"/>
  <conditionalFormatting sqref="E40">
    <cfRule type="cellIs" dxfId="32" priority="27" operator="equal">
      <formula>0</formula>
    </cfRule>
  </conditionalFormatting>
  <conditionalFormatting sqref="C37">
    <cfRule type="cellIs" dxfId="31" priority="26" operator="equal">
      <formula>0</formula>
    </cfRule>
  </conditionalFormatting>
  <conditionalFormatting sqref="C38">
    <cfRule type="cellIs" dxfId="30" priority="25" operator="equal">
      <formula>0</formula>
    </cfRule>
  </conditionalFormatting>
  <conditionalFormatting sqref="E38">
    <cfRule type="cellIs" dxfId="29" priority="24" operator="equal">
      <formula>0</formula>
    </cfRule>
  </conditionalFormatting>
  <conditionalFormatting sqref="F15">
    <cfRule type="expression" dxfId="28" priority="20">
      <formula>F15="zuerst Gewicht eingeben"</formula>
    </cfRule>
  </conditionalFormatting>
  <conditionalFormatting sqref="F12">
    <cfRule type="expression" dxfId="27" priority="14">
      <formula>F12="zuerst Gewicht eingeben"</formula>
    </cfRule>
  </conditionalFormatting>
  <conditionalFormatting sqref="F13:F14">
    <cfRule type="expression" dxfId="26" priority="5">
      <formula>F13="zuerst Gewicht eingeben"</formula>
    </cfRule>
  </conditionalFormatting>
  <conditionalFormatting sqref="F16:F19">
    <cfRule type="expression" dxfId="25" priority="4">
      <formula>F16="zuerst Gewicht eingeben"</formula>
    </cfRule>
  </conditionalFormatting>
  <conditionalFormatting sqref="F21:F26">
    <cfRule type="expression" dxfId="24" priority="3">
      <formula>F21="zuerst Gewicht eingeben"</formula>
    </cfRule>
  </conditionalFormatting>
  <conditionalFormatting sqref="F28:F29">
    <cfRule type="expression" dxfId="23" priority="2">
      <formula>F28="zuerst Gewicht eingeben"</formula>
    </cfRule>
  </conditionalFormatting>
  <conditionalFormatting sqref="F31:F33">
    <cfRule type="expression" dxfId="22" priority="1">
      <formula>F31="zuerst Gewicht eingeben"</formula>
    </cfRule>
  </conditionalFormatting>
  <pageMargins left="0.62992125984251968" right="0.62992125984251968" top="0.82677165354330717" bottom="0.74803149606299213" header="0.47244094488188981" footer="0.55118110236220474"/>
  <pageSetup paperSize="9" scale="54" orientation="portrait" horizontalDpi="4294967294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O51"/>
  <sheetViews>
    <sheetView zoomScale="75" zoomScaleNormal="75" zoomScalePageLayoutView="75" workbookViewId="0">
      <selection activeCell="F28" sqref="F28"/>
    </sheetView>
  </sheetViews>
  <sheetFormatPr baseColWidth="10" defaultColWidth="11.42578125" defaultRowHeight="15" x14ac:dyDescent="0.2"/>
  <cols>
    <col min="1" max="1" width="21.7109375" style="5" bestFit="1" customWidth="1"/>
    <col min="2" max="2" width="42.140625" style="3" customWidth="1"/>
    <col min="3" max="3" width="13.5703125" bestFit="1" customWidth="1"/>
    <col min="4" max="4" width="19" bestFit="1" customWidth="1"/>
    <col min="5" max="5" width="13.42578125" customWidth="1"/>
    <col min="6" max="6" width="25.28515625" style="161" bestFit="1" customWidth="1"/>
    <col min="7" max="7" width="49.7109375" style="8" bestFit="1" customWidth="1"/>
  </cols>
  <sheetData>
    <row r="1" spans="1:15" ht="30" x14ac:dyDescent="0.2">
      <c r="A1" s="89" t="str">
        <f>Zusammenzug!A1</f>
        <v>MATA 2012-2014</v>
      </c>
      <c r="B1" s="90"/>
      <c r="C1" s="90"/>
      <c r="D1" s="90"/>
      <c r="E1" s="90"/>
      <c r="F1" s="157"/>
      <c r="G1"/>
      <c r="I1" s="2"/>
      <c r="J1" s="2"/>
      <c r="K1" s="2"/>
      <c r="L1" s="2"/>
      <c r="M1" s="2"/>
      <c r="N1" s="2"/>
      <c r="O1" s="2"/>
    </row>
    <row r="2" spans="1:15" ht="30" x14ac:dyDescent="0.2">
      <c r="A2" s="103"/>
      <c r="B2" s="94"/>
      <c r="C2" s="94"/>
      <c r="D2" s="94"/>
      <c r="E2" s="94"/>
      <c r="F2" s="158"/>
      <c r="G2"/>
      <c r="I2" s="2"/>
      <c r="J2" s="2"/>
      <c r="K2" s="2"/>
      <c r="L2" s="2"/>
      <c r="M2" s="2"/>
      <c r="N2" s="2"/>
      <c r="O2" s="2"/>
    </row>
    <row r="3" spans="1:15" ht="15" customHeight="1" x14ac:dyDescent="0.2">
      <c r="A3" s="93"/>
      <c r="B3" s="94"/>
      <c r="C3" s="94"/>
      <c r="D3" s="94"/>
      <c r="E3" s="94"/>
      <c r="F3" s="158"/>
      <c r="G3"/>
      <c r="I3" s="2"/>
      <c r="J3" s="2"/>
      <c r="K3" s="2"/>
      <c r="L3" s="2"/>
      <c r="M3" s="2"/>
      <c r="N3" s="2"/>
      <c r="O3" s="2"/>
    </row>
    <row r="4" spans="1:15" ht="24" customHeight="1" x14ac:dyDescent="0.2">
      <c r="A4" s="120" t="s">
        <v>70</v>
      </c>
      <c r="B4" s="301" t="str">
        <f>IF(Zusammenzug!B4="","",Zusammenzug!B4)</f>
        <v/>
      </c>
      <c r="C4" s="302"/>
      <c r="D4" s="303"/>
      <c r="E4" s="113" t="s">
        <v>69</v>
      </c>
      <c r="F4" s="248" t="str">
        <f>IF(Zusammenzug!F4="","",Zusammenzug!F4)</f>
        <v/>
      </c>
      <c r="G4"/>
      <c r="I4" s="2"/>
      <c r="J4" s="2"/>
      <c r="K4" s="2"/>
      <c r="L4" s="2"/>
      <c r="M4" s="2"/>
      <c r="N4" s="2"/>
      <c r="O4" s="2"/>
    </row>
    <row r="5" spans="1:15" ht="15" customHeight="1" x14ac:dyDescent="0.2">
      <c r="A5" s="115"/>
      <c r="B5" s="95"/>
      <c r="C5" s="95"/>
      <c r="D5" s="95"/>
      <c r="E5" s="121"/>
      <c r="F5" s="159"/>
      <c r="G5"/>
      <c r="I5" s="2"/>
      <c r="J5" s="2"/>
      <c r="K5" s="2"/>
      <c r="L5" s="2"/>
      <c r="M5" s="2"/>
      <c r="N5" s="2"/>
      <c r="O5" s="2"/>
    </row>
    <row r="6" spans="1:15" ht="24" customHeight="1" x14ac:dyDescent="0.2">
      <c r="A6" s="119" t="s">
        <v>67</v>
      </c>
      <c r="B6" s="304" t="str">
        <f>IF(Zusammenzug!B6="","",Zusammenzug!B6)</f>
        <v/>
      </c>
      <c r="C6" s="305"/>
      <c r="D6" s="306"/>
      <c r="E6" s="113" t="s">
        <v>68</v>
      </c>
      <c r="F6" s="248" t="str">
        <f>IF(Zusammenzug!F6="","",Zusammenzug!F6)</f>
        <v/>
      </c>
      <c r="G6"/>
      <c r="I6" s="2"/>
      <c r="J6" s="2"/>
      <c r="K6" s="2"/>
      <c r="L6" s="2"/>
      <c r="M6" s="2"/>
      <c r="N6" s="2"/>
      <c r="O6" s="2"/>
    </row>
    <row r="7" spans="1:15" ht="15" customHeight="1" thickBot="1" x14ac:dyDescent="0.25">
      <c r="A7" s="96"/>
      <c r="B7" s="62"/>
      <c r="C7" s="62"/>
      <c r="D7" s="62"/>
      <c r="E7" s="62"/>
      <c r="F7" s="160"/>
      <c r="G7"/>
      <c r="I7" s="2"/>
      <c r="J7" s="2"/>
      <c r="K7" s="2"/>
      <c r="L7" s="2"/>
      <c r="M7" s="2"/>
      <c r="N7" s="2"/>
      <c r="O7" s="2"/>
    </row>
    <row r="8" spans="1:15" ht="21" thickBot="1" x14ac:dyDescent="0.35">
      <c r="A8" s="312" t="s">
        <v>78</v>
      </c>
      <c r="B8" s="313"/>
      <c r="C8" s="313"/>
      <c r="D8" s="313"/>
      <c r="E8" s="313"/>
      <c r="F8" s="314"/>
    </row>
    <row r="9" spans="1:15" ht="28.5" x14ac:dyDescent="0.2">
      <c r="A9" s="169"/>
      <c r="B9" s="170"/>
      <c r="C9" s="171" t="s">
        <v>62</v>
      </c>
      <c r="D9" s="171" t="s">
        <v>63</v>
      </c>
      <c r="E9" s="172"/>
      <c r="F9" s="173"/>
    </row>
    <row r="10" spans="1:15" s="4" customFormat="1" ht="13.5" customHeight="1" x14ac:dyDescent="0.25">
      <c r="A10" s="174"/>
      <c r="B10" s="175"/>
      <c r="C10" s="176" t="s">
        <v>10</v>
      </c>
      <c r="D10" s="176" t="s">
        <v>11</v>
      </c>
      <c r="E10" s="177" t="s">
        <v>12</v>
      </c>
      <c r="F10" s="178"/>
      <c r="G10" s="10"/>
    </row>
    <row r="11" spans="1:15" ht="25.5" x14ac:dyDescent="0.2">
      <c r="A11" s="169"/>
      <c r="B11" s="179" t="s">
        <v>31</v>
      </c>
      <c r="C11" s="180" t="s">
        <v>13</v>
      </c>
      <c r="D11" s="181" t="s">
        <v>47</v>
      </c>
      <c r="E11" s="182"/>
      <c r="F11" s="183"/>
    </row>
    <row r="12" spans="1:15" ht="18" customHeight="1" x14ac:dyDescent="0.25">
      <c r="A12" s="315" t="s">
        <v>3</v>
      </c>
      <c r="B12" s="319" t="s">
        <v>81</v>
      </c>
      <c r="C12" s="320"/>
      <c r="D12" s="320"/>
      <c r="E12" s="321"/>
      <c r="F12" s="184" t="str">
        <f>IF(E12="#####","Fehler!",IF(AND(C12&lt;&gt;"",D12=""),"zuerst Gewicht eingeben",""))</f>
        <v/>
      </c>
    </row>
    <row r="13" spans="1:15" ht="18" customHeight="1" x14ac:dyDescent="0.2">
      <c r="A13" s="316"/>
      <c r="B13" s="185" t="s">
        <v>5</v>
      </c>
      <c r="C13" s="220">
        <v>4</v>
      </c>
      <c r="D13" s="220">
        <v>2</v>
      </c>
      <c r="E13" s="186">
        <f t="shared" ref="E13:E24" si="0">IF(AND(C13="",D13=""),"",IF(OR(D13&gt;5,D13&lt;0),"#####",IF(ISBLANK(C13),0,IF(OR(C13&gt;6,C13&lt;1),"#####",C13*D13))))</f>
        <v>8</v>
      </c>
      <c r="F13" s="184" t="str">
        <f t="shared" ref="F13:F24" si="1">IF(E13="#####","Fehler!",IF(AND(C13&lt;&gt;"",D13=""),"zuerst Gewicht eingeben",""))</f>
        <v/>
      </c>
    </row>
    <row r="14" spans="1:15" ht="18" customHeight="1" x14ac:dyDescent="0.2">
      <c r="A14" s="316"/>
      <c r="B14" s="187" t="s">
        <v>6</v>
      </c>
      <c r="C14" s="221">
        <v>5.0999999999999996</v>
      </c>
      <c r="D14" s="221">
        <v>4</v>
      </c>
      <c r="E14" s="186">
        <f t="shared" si="0"/>
        <v>20.399999999999999</v>
      </c>
      <c r="F14" s="184" t="str">
        <f t="shared" si="1"/>
        <v/>
      </c>
    </row>
    <row r="15" spans="1:15" ht="18" customHeight="1" x14ac:dyDescent="0.2">
      <c r="A15" s="316"/>
      <c r="B15" s="187" t="s">
        <v>7</v>
      </c>
      <c r="C15" s="221">
        <v>4.5</v>
      </c>
      <c r="D15" s="221">
        <v>2.5</v>
      </c>
      <c r="E15" s="186">
        <f t="shared" si="0"/>
        <v>11.25</v>
      </c>
      <c r="F15" s="184" t="str">
        <f t="shared" si="1"/>
        <v/>
      </c>
      <c r="G15" s="12"/>
    </row>
    <row r="16" spans="1:15" ht="17.25" customHeight="1" x14ac:dyDescent="0.2">
      <c r="A16" s="316"/>
      <c r="B16" s="188" t="s">
        <v>27</v>
      </c>
      <c r="C16" s="221">
        <v>6</v>
      </c>
      <c r="D16" s="221">
        <v>1</v>
      </c>
      <c r="E16" s="186">
        <f t="shared" si="0"/>
        <v>6</v>
      </c>
      <c r="F16" s="184" t="str">
        <f t="shared" si="1"/>
        <v/>
      </c>
    </row>
    <row r="17" spans="1:8" ht="18" customHeight="1" x14ac:dyDescent="0.2">
      <c r="A17" s="316"/>
      <c r="B17" s="230"/>
      <c r="C17" s="221"/>
      <c r="D17" s="221"/>
      <c r="E17" s="186" t="str">
        <f t="shared" si="0"/>
        <v/>
      </c>
      <c r="F17" s="184" t="str">
        <f t="shared" si="1"/>
        <v/>
      </c>
    </row>
    <row r="18" spans="1:8" ht="18" customHeight="1" x14ac:dyDescent="0.2">
      <c r="A18" s="316"/>
      <c r="B18" s="230"/>
      <c r="C18" s="221"/>
      <c r="D18" s="221"/>
      <c r="E18" s="186" t="str">
        <f t="shared" si="0"/>
        <v/>
      </c>
      <c r="F18" s="184" t="str">
        <f t="shared" si="1"/>
        <v/>
      </c>
    </row>
    <row r="19" spans="1:8" ht="18" customHeight="1" x14ac:dyDescent="0.25">
      <c r="A19" s="316"/>
      <c r="B19" s="319" t="s">
        <v>82</v>
      </c>
      <c r="C19" s="320"/>
      <c r="D19" s="320"/>
      <c r="E19" s="321"/>
      <c r="F19" s="184" t="str">
        <f t="shared" si="1"/>
        <v/>
      </c>
    </row>
    <row r="20" spans="1:8" ht="18" customHeight="1" x14ac:dyDescent="0.2">
      <c r="A20" s="316"/>
      <c r="B20" s="187" t="s">
        <v>19</v>
      </c>
      <c r="C20" s="221">
        <v>5</v>
      </c>
      <c r="D20" s="221">
        <v>2.5</v>
      </c>
      <c r="E20" s="186">
        <f t="shared" si="0"/>
        <v>12.5</v>
      </c>
      <c r="F20" s="184" t="str">
        <f t="shared" si="1"/>
        <v/>
      </c>
    </row>
    <row r="21" spans="1:8" ht="18" customHeight="1" x14ac:dyDescent="0.2">
      <c r="A21" s="316"/>
      <c r="B21" s="187" t="s">
        <v>18</v>
      </c>
      <c r="C21" s="221">
        <v>3.5</v>
      </c>
      <c r="D21" s="221">
        <v>4</v>
      </c>
      <c r="E21" s="186">
        <f t="shared" si="0"/>
        <v>14</v>
      </c>
      <c r="F21" s="184" t="str">
        <f t="shared" si="1"/>
        <v/>
      </c>
      <c r="G21"/>
    </row>
    <row r="22" spans="1:8" ht="18" customHeight="1" x14ac:dyDescent="0.2">
      <c r="A22" s="316"/>
      <c r="B22" s="189" t="s">
        <v>87</v>
      </c>
      <c r="C22" s="221">
        <v>3.5</v>
      </c>
      <c r="D22" s="221">
        <v>4</v>
      </c>
      <c r="E22" s="186">
        <f t="shared" si="0"/>
        <v>14</v>
      </c>
      <c r="F22" s="184" t="str">
        <f t="shared" si="1"/>
        <v/>
      </c>
      <c r="G22"/>
      <c r="H22" s="13"/>
    </row>
    <row r="23" spans="1:8" ht="18" customHeight="1" x14ac:dyDescent="0.2">
      <c r="A23" s="316"/>
      <c r="B23" s="229"/>
      <c r="C23" s="221"/>
      <c r="D23" s="221"/>
      <c r="E23" s="186" t="str">
        <f t="shared" si="0"/>
        <v/>
      </c>
      <c r="F23" s="184" t="str">
        <f t="shared" si="1"/>
        <v/>
      </c>
      <c r="G23"/>
      <c r="H23" s="13"/>
    </row>
    <row r="24" spans="1:8" ht="18" customHeight="1" x14ac:dyDescent="0.2">
      <c r="A24" s="317"/>
      <c r="B24" s="229"/>
      <c r="C24" s="221"/>
      <c r="D24" s="221"/>
      <c r="E24" s="186" t="str">
        <f t="shared" si="0"/>
        <v/>
      </c>
      <c r="F24" s="184" t="str">
        <f t="shared" si="1"/>
        <v/>
      </c>
    </row>
    <row r="25" spans="1:8" ht="15" customHeight="1" x14ac:dyDescent="0.2">
      <c r="A25" s="169"/>
      <c r="B25" s="170"/>
      <c r="C25" s="190"/>
      <c r="D25" s="190"/>
      <c r="E25" s="172"/>
      <c r="F25" s="191"/>
    </row>
    <row r="26" spans="1:8" ht="18" customHeight="1" x14ac:dyDescent="0.2">
      <c r="A26" s="169"/>
      <c r="B26" s="192" t="s">
        <v>48</v>
      </c>
      <c r="C26" s="193">
        <f>(SUMIF(C$13:C$18,"&gt;=0",D$13:D$18)+SUMIF(C$20:C$24,"&gt;0",D$20:D$24))*6</f>
        <v>120</v>
      </c>
      <c r="D26" s="194"/>
      <c r="E26" s="172"/>
      <c r="F26" s="195"/>
    </row>
    <row r="27" spans="1:8" ht="18" customHeight="1" x14ac:dyDescent="0.2">
      <c r="A27" s="169"/>
      <c r="B27" s="192" t="s">
        <v>49</v>
      </c>
      <c r="C27" s="193">
        <f>SUMIF(C$13:C$18,"&gt;=0",D$13:D$18)+SUMIF(C$20:C$24,"&gt;=0",D$20:D$24)</f>
        <v>20</v>
      </c>
      <c r="D27" s="192" t="s">
        <v>59</v>
      </c>
      <c r="E27" s="196">
        <f>SUM(E13:E18,E20:E24)</f>
        <v>86.15</v>
      </c>
      <c r="F27" s="183"/>
    </row>
    <row r="28" spans="1:8" ht="24.75" customHeight="1" x14ac:dyDescent="0.3">
      <c r="A28" s="169"/>
      <c r="B28" s="197"/>
      <c r="C28" s="198"/>
      <c r="D28" s="199"/>
      <c r="E28" s="200"/>
      <c r="F28" s="183"/>
    </row>
    <row r="29" spans="1:8" s="4" customFormat="1" ht="24" customHeight="1" x14ac:dyDescent="0.3">
      <c r="A29" s="169"/>
      <c r="B29" s="201"/>
      <c r="C29" s="198"/>
      <c r="D29" s="199"/>
      <c r="E29" s="200"/>
      <c r="F29" s="183"/>
      <c r="G29" s="10"/>
    </row>
    <row r="30" spans="1:8" ht="20.25" x14ac:dyDescent="0.3">
      <c r="A30" s="169"/>
      <c r="B30" s="310" t="s">
        <v>56</v>
      </c>
      <c r="C30" s="310"/>
      <c r="D30" s="310"/>
      <c r="E30" s="202">
        <f>IF(C27=0,0,E27/C27)</f>
        <v>4.3075000000000001</v>
      </c>
      <c r="F30" s="183"/>
    </row>
    <row r="31" spans="1:8" ht="25.5" customHeight="1" x14ac:dyDescent="0.3">
      <c r="A31" s="169"/>
      <c r="B31" s="203"/>
      <c r="C31" s="204"/>
      <c r="D31" s="204"/>
      <c r="E31" s="205"/>
      <c r="F31" s="178"/>
    </row>
    <row r="32" spans="1:8" ht="28.5" x14ac:dyDescent="0.2">
      <c r="A32" s="206"/>
      <c r="B32" s="207"/>
      <c r="C32" s="171" t="s">
        <v>62</v>
      </c>
      <c r="D32" s="171" t="s">
        <v>63</v>
      </c>
      <c r="E32" s="208"/>
      <c r="F32" s="183"/>
    </row>
    <row r="33" spans="1:7" ht="18" customHeight="1" x14ac:dyDescent="0.25">
      <c r="A33" s="174"/>
      <c r="B33" s="175"/>
      <c r="C33" s="176" t="s">
        <v>10</v>
      </c>
      <c r="D33" s="176" t="s">
        <v>11</v>
      </c>
      <c r="E33" s="177" t="s">
        <v>12</v>
      </c>
      <c r="F33" s="183"/>
    </row>
    <row r="34" spans="1:7" ht="25.5" x14ac:dyDescent="0.2">
      <c r="A34" s="169"/>
      <c r="B34" s="179" t="s">
        <v>31</v>
      </c>
      <c r="C34" s="180" t="s">
        <v>13</v>
      </c>
      <c r="D34" s="181" t="s">
        <v>47</v>
      </c>
      <c r="E34" s="182"/>
      <c r="F34" s="209"/>
      <c r="G34" s="12"/>
    </row>
    <row r="35" spans="1:7" ht="18" customHeight="1" x14ac:dyDescent="0.25">
      <c r="A35" s="318" t="s">
        <v>86</v>
      </c>
      <c r="B35" s="319" t="s">
        <v>81</v>
      </c>
      <c r="C35" s="320"/>
      <c r="D35" s="320"/>
      <c r="E35" s="321"/>
      <c r="F35" s="184" t="str">
        <f>IF(E35="#####","Fehler!",IF(AND(C35&lt;&gt;"",D35=""),"zuerst Gewicht eingeben",""))</f>
        <v/>
      </c>
    </row>
    <row r="36" spans="1:7" ht="18" customHeight="1" x14ac:dyDescent="0.2">
      <c r="A36" s="316"/>
      <c r="B36" s="210" t="s">
        <v>20</v>
      </c>
      <c r="C36" s="220"/>
      <c r="D36" s="220"/>
      <c r="E36" s="186" t="str">
        <f t="shared" ref="E36:E46" si="2">IF(AND(C36="",D36=""),"",IF(OR(D36&gt;5,D36&lt;0),"#####",IF(ISBLANK(C36),0,IF(OR(C36&gt;6,C36&lt;1),"#####",C36*D36))))</f>
        <v/>
      </c>
      <c r="F36" s="184" t="str">
        <f t="shared" ref="F36:F46" si="3">IF(E36="#####","Fehler!",IF(AND(C36&lt;&gt;"",D36=""),"zuerst Gewicht eingeben",""))</f>
        <v/>
      </c>
      <c r="G36" s="11"/>
    </row>
    <row r="37" spans="1:7" ht="18" customHeight="1" x14ac:dyDescent="0.2">
      <c r="A37" s="316"/>
      <c r="B37" s="211" t="s">
        <v>28</v>
      </c>
      <c r="C37" s="221"/>
      <c r="D37" s="221"/>
      <c r="E37" s="186" t="str">
        <f t="shared" si="2"/>
        <v/>
      </c>
      <c r="F37" s="184" t="str">
        <f t="shared" si="3"/>
        <v/>
      </c>
    </row>
    <row r="38" spans="1:7" ht="18" customHeight="1" x14ac:dyDescent="0.2">
      <c r="A38" s="316"/>
      <c r="B38" s="211" t="s">
        <v>8</v>
      </c>
      <c r="C38" s="221"/>
      <c r="D38" s="221"/>
      <c r="E38" s="186" t="str">
        <f t="shared" si="2"/>
        <v/>
      </c>
      <c r="F38" s="184" t="str">
        <f t="shared" si="3"/>
        <v/>
      </c>
    </row>
    <row r="39" spans="1:7" ht="18" customHeight="1" x14ac:dyDescent="0.2">
      <c r="A39" s="316"/>
      <c r="B39" s="212" t="s">
        <v>9</v>
      </c>
      <c r="C39" s="221"/>
      <c r="D39" s="221"/>
      <c r="E39" s="186" t="str">
        <f t="shared" si="2"/>
        <v/>
      </c>
      <c r="F39" s="184" t="str">
        <f t="shared" si="3"/>
        <v/>
      </c>
    </row>
    <row r="40" spans="1:7" ht="18" customHeight="1" x14ac:dyDescent="0.2">
      <c r="A40" s="316"/>
      <c r="B40" s="251"/>
      <c r="C40" s="221"/>
      <c r="D40" s="221"/>
      <c r="E40" s="186" t="str">
        <f t="shared" si="2"/>
        <v/>
      </c>
      <c r="F40" s="184" t="str">
        <f t="shared" si="3"/>
        <v/>
      </c>
    </row>
    <row r="41" spans="1:7" ht="18" customHeight="1" x14ac:dyDescent="0.2">
      <c r="A41" s="316"/>
      <c r="B41" s="251"/>
      <c r="C41" s="221"/>
      <c r="D41" s="221"/>
      <c r="E41" s="186" t="str">
        <f t="shared" si="2"/>
        <v/>
      </c>
      <c r="F41" s="184" t="str">
        <f t="shared" si="3"/>
        <v/>
      </c>
    </row>
    <row r="42" spans="1:7" ht="18" customHeight="1" x14ac:dyDescent="0.25">
      <c r="A42" s="316"/>
      <c r="B42" s="222" t="s">
        <v>82</v>
      </c>
      <c r="C42" s="223"/>
      <c r="D42" s="223"/>
      <c r="E42" s="224"/>
      <c r="F42" s="184" t="str">
        <f t="shared" si="3"/>
        <v/>
      </c>
    </row>
    <row r="43" spans="1:7" ht="18" customHeight="1" x14ac:dyDescent="0.2">
      <c r="A43" s="316"/>
      <c r="B43" s="210" t="s">
        <v>29</v>
      </c>
      <c r="C43" s="232"/>
      <c r="D43" s="232"/>
      <c r="E43" s="186" t="str">
        <f t="shared" si="2"/>
        <v/>
      </c>
      <c r="F43" s="184" t="str">
        <f t="shared" si="3"/>
        <v/>
      </c>
    </row>
    <row r="44" spans="1:7" ht="18" customHeight="1" x14ac:dyDescent="0.2">
      <c r="A44" s="316"/>
      <c r="B44" s="210" t="s">
        <v>30</v>
      </c>
      <c r="C44" s="232"/>
      <c r="D44" s="232"/>
      <c r="E44" s="186" t="str">
        <f t="shared" si="2"/>
        <v/>
      </c>
      <c r="F44" s="184" t="str">
        <f t="shared" si="3"/>
        <v/>
      </c>
    </row>
    <row r="45" spans="1:7" ht="18" customHeight="1" x14ac:dyDescent="0.2">
      <c r="A45" s="316"/>
      <c r="B45" s="231"/>
      <c r="C45" s="232"/>
      <c r="D45" s="221"/>
      <c r="E45" s="186" t="str">
        <f t="shared" si="2"/>
        <v/>
      </c>
      <c r="F45" s="184" t="str">
        <f t="shared" si="3"/>
        <v/>
      </c>
    </row>
    <row r="46" spans="1:7" ht="16.5" customHeight="1" x14ac:dyDescent="0.2">
      <c r="A46" s="317"/>
      <c r="B46" s="231"/>
      <c r="C46" s="232"/>
      <c r="D46" s="221"/>
      <c r="E46" s="186" t="str">
        <f t="shared" si="2"/>
        <v/>
      </c>
      <c r="F46" s="184" t="str">
        <f t="shared" si="3"/>
        <v/>
      </c>
    </row>
    <row r="47" spans="1:7" ht="24" customHeight="1" x14ac:dyDescent="0.3">
      <c r="A47" s="169"/>
      <c r="B47" s="197"/>
      <c r="C47" s="214"/>
      <c r="D47" s="215"/>
      <c r="E47" s="216"/>
      <c r="F47" s="191"/>
    </row>
    <row r="48" spans="1:7" ht="16.5" customHeight="1" x14ac:dyDescent="0.3">
      <c r="A48" s="169"/>
      <c r="B48" s="213" t="s">
        <v>48</v>
      </c>
      <c r="C48" s="193">
        <f>(SUMIF(C$36:C$41,"&gt;=0",D$36:D$41)+SUMIF(C$43:C$46,"&gt;=0",D$43:D$46))*6</f>
        <v>0</v>
      </c>
      <c r="D48" s="217"/>
      <c r="E48" s="200"/>
      <c r="F48" s="195"/>
    </row>
    <row r="49" spans="1:6" x14ac:dyDescent="0.2">
      <c r="A49" s="169"/>
      <c r="B49" s="213" t="s">
        <v>49</v>
      </c>
      <c r="C49" s="193">
        <f>SUMIF(C$36:C$41,"&gt;=0",D$36:D$41)+SUMIF(C$43:C$46,"&gt;=0",D$43:D$46)</f>
        <v>0</v>
      </c>
      <c r="D49" s="192" t="s">
        <v>59</v>
      </c>
      <c r="E49" s="196">
        <f>SUM(E36:E41,E43:E46)</f>
        <v>0</v>
      </c>
      <c r="F49" s="183"/>
    </row>
    <row r="50" spans="1:6" ht="20.25" x14ac:dyDescent="0.3">
      <c r="A50" s="169"/>
      <c r="B50" s="170"/>
      <c r="C50" s="198"/>
      <c r="D50" s="190"/>
      <c r="E50" s="172"/>
      <c r="F50" s="183"/>
    </row>
    <row r="51" spans="1:6" ht="21" thickBot="1" x14ac:dyDescent="0.35">
      <c r="A51" s="218"/>
      <c r="B51" s="311" t="s">
        <v>57</v>
      </c>
      <c r="C51" s="311"/>
      <c r="D51" s="311"/>
      <c r="E51" s="202">
        <f>IF(C49=0,0,E49/C49)</f>
        <v>0</v>
      </c>
      <c r="F51" s="219"/>
    </row>
  </sheetData>
  <sheetProtection password="D1C2" sheet="1" objects="1" scenarios="1"/>
  <mergeCells count="10">
    <mergeCell ref="B4:D4"/>
    <mergeCell ref="B6:D6"/>
    <mergeCell ref="B30:D30"/>
    <mergeCell ref="B51:D51"/>
    <mergeCell ref="A8:F8"/>
    <mergeCell ref="A12:A24"/>
    <mergeCell ref="A35:A46"/>
    <mergeCell ref="B19:E19"/>
    <mergeCell ref="B12:E12"/>
    <mergeCell ref="B35:E35"/>
  </mergeCells>
  <phoneticPr fontId="2" type="noConversion"/>
  <conditionalFormatting sqref="C50 C28">
    <cfRule type="cellIs" dxfId="21" priority="10" stopIfTrue="1" operator="equal">
      <formula>1</formula>
    </cfRule>
  </conditionalFormatting>
  <conditionalFormatting sqref="E30">
    <cfRule type="cellIs" dxfId="20" priority="12" stopIfTrue="1" operator="equal">
      <formula>0</formula>
    </cfRule>
  </conditionalFormatting>
  <conditionalFormatting sqref="E51">
    <cfRule type="cellIs" dxfId="19" priority="9" stopIfTrue="1" operator="equal">
      <formula>0</formula>
    </cfRule>
  </conditionalFormatting>
  <conditionalFormatting sqref="C48">
    <cfRule type="cellIs" dxfId="18" priority="8" operator="equal">
      <formula>0</formula>
    </cfRule>
  </conditionalFormatting>
  <conditionalFormatting sqref="C49">
    <cfRule type="cellIs" dxfId="17" priority="7" operator="equal">
      <formula>0</formula>
    </cfRule>
  </conditionalFormatting>
  <conditionalFormatting sqref="E49">
    <cfRule type="cellIs" dxfId="16" priority="6" operator="equal">
      <formula>0</formula>
    </cfRule>
  </conditionalFormatting>
  <conditionalFormatting sqref="F13">
    <cfRule type="expression" dxfId="15" priority="5">
      <formula>F13="zuerst Gewicht eingeben"</formula>
    </cfRule>
  </conditionalFormatting>
  <conditionalFormatting sqref="F14:F18">
    <cfRule type="expression" dxfId="14" priority="4">
      <formula>F14="zuerst Gewicht eingeben"</formula>
    </cfRule>
  </conditionalFormatting>
  <conditionalFormatting sqref="F20:F24">
    <cfRule type="expression" dxfId="13" priority="3">
      <formula>F20="zuerst Gewicht eingeben"</formula>
    </cfRule>
  </conditionalFormatting>
  <conditionalFormatting sqref="F36:F41">
    <cfRule type="expression" dxfId="12" priority="2">
      <formula>F36="zuerst Gewicht eingeben"</formula>
    </cfRule>
  </conditionalFormatting>
  <conditionalFormatting sqref="F43:F46">
    <cfRule type="expression" dxfId="11" priority="1">
      <formula>F43="zuerst Gewicht eingeben"</formula>
    </cfRule>
  </conditionalFormatting>
  <pageMargins left="0.74803149606299213" right="0.74803149606299213" top="0.78" bottom="0.53" header="0.51181102362204722" footer="0.51181102362204722"/>
  <pageSetup paperSize="9" scale="65" orientation="portrait" horizontalDpi="4294967294" verticalDpi="1200" r:id="rId1"/>
  <headerFooter alignWithMargins="0"/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G41"/>
  <sheetViews>
    <sheetView topLeftCell="A4" zoomScale="75" zoomScaleNormal="75" zoomScalePageLayoutView="75" workbookViewId="0">
      <selection activeCell="D19" sqref="D19"/>
    </sheetView>
  </sheetViews>
  <sheetFormatPr baseColWidth="10" defaultColWidth="11.42578125" defaultRowHeight="12.75" x14ac:dyDescent="0.2"/>
  <cols>
    <col min="1" max="1" width="28.28515625" bestFit="1" customWidth="1"/>
    <col min="2" max="2" width="32.140625" customWidth="1"/>
    <col min="3" max="3" width="13.5703125" bestFit="1" customWidth="1"/>
    <col min="4" max="4" width="19.28515625" customWidth="1"/>
    <col min="5" max="5" width="9.28515625" bestFit="1" customWidth="1"/>
    <col min="6" max="6" width="28.140625" style="168" bestFit="1" customWidth="1"/>
  </cols>
  <sheetData>
    <row r="1" spans="1:7" ht="30" x14ac:dyDescent="0.2">
      <c r="A1" s="89" t="str">
        <f>Zusammenzug!A1</f>
        <v>MATA 2012-2014</v>
      </c>
      <c r="B1" s="90"/>
      <c r="C1" s="90"/>
      <c r="D1" s="90"/>
      <c r="E1" s="90"/>
      <c r="F1" s="146"/>
    </row>
    <row r="2" spans="1:7" ht="30" x14ac:dyDescent="0.2">
      <c r="A2" s="103"/>
      <c r="B2" s="94"/>
      <c r="C2" s="94"/>
      <c r="D2" s="94"/>
      <c r="E2" s="94"/>
      <c r="F2" s="147"/>
    </row>
    <row r="3" spans="1:7" ht="15" customHeight="1" x14ac:dyDescent="0.2">
      <c r="A3" s="93"/>
      <c r="B3" s="94"/>
      <c r="C3" s="94"/>
      <c r="D3" s="94"/>
      <c r="E3" s="94"/>
      <c r="F3" s="147"/>
    </row>
    <row r="4" spans="1:7" ht="24" customHeight="1" x14ac:dyDescent="0.2">
      <c r="A4" s="119" t="s">
        <v>70</v>
      </c>
      <c r="B4" s="301" t="str">
        <f>IF(Zusammenzug!B4="","",Zusammenzug!B4)</f>
        <v/>
      </c>
      <c r="C4" s="302"/>
      <c r="D4" s="303"/>
      <c r="E4" s="113" t="s">
        <v>69</v>
      </c>
      <c r="F4" s="248" t="str">
        <f>IF(Zusammenzug!F4="","",Zusammenzug!F4)</f>
        <v/>
      </c>
    </row>
    <row r="5" spans="1:7" ht="15" customHeight="1" x14ac:dyDescent="0.2">
      <c r="A5" s="115"/>
      <c r="B5" s="95"/>
      <c r="C5" s="95"/>
      <c r="D5" s="95"/>
      <c r="E5" s="122"/>
      <c r="F5" s="147"/>
    </row>
    <row r="6" spans="1:7" ht="24.75" customHeight="1" x14ac:dyDescent="0.2">
      <c r="A6" s="119" t="s">
        <v>67</v>
      </c>
      <c r="B6" s="304" t="str">
        <f>IF(Zusammenzug!B6="","",Zusammenzug!B6)</f>
        <v/>
      </c>
      <c r="C6" s="305"/>
      <c r="D6" s="306"/>
      <c r="E6" s="113" t="s">
        <v>68</v>
      </c>
      <c r="F6" s="248" t="str">
        <f>IF(Zusammenzug!F6="","",Zusammenzug!F6)</f>
        <v/>
      </c>
    </row>
    <row r="7" spans="1:7" ht="15" customHeight="1" thickBot="1" x14ac:dyDescent="0.25">
      <c r="A7" s="123"/>
      <c r="B7" s="63"/>
      <c r="C7" s="63"/>
      <c r="D7" s="63"/>
      <c r="E7" s="63"/>
      <c r="F7" s="149"/>
    </row>
    <row r="8" spans="1:7" ht="21" thickBot="1" x14ac:dyDescent="0.35">
      <c r="A8" s="322" t="s">
        <v>79</v>
      </c>
      <c r="B8" s="323"/>
      <c r="C8" s="323"/>
      <c r="D8" s="323"/>
      <c r="E8" s="323"/>
      <c r="F8" s="324"/>
    </row>
    <row r="9" spans="1:7" ht="28.5" x14ac:dyDescent="0.2">
      <c r="A9" s="34"/>
      <c r="B9" s="35"/>
      <c r="C9" s="36" t="s">
        <v>62</v>
      </c>
      <c r="D9" s="36" t="s">
        <v>63</v>
      </c>
      <c r="E9" s="35"/>
      <c r="F9" s="162"/>
    </row>
    <row r="10" spans="1:7" ht="13.5" customHeight="1" x14ac:dyDescent="0.2">
      <c r="A10" s="34"/>
      <c r="B10" s="35"/>
      <c r="C10" s="38" t="s">
        <v>10</v>
      </c>
      <c r="D10" s="38" t="s">
        <v>11</v>
      </c>
      <c r="E10" s="104" t="s">
        <v>12</v>
      </c>
      <c r="F10" s="163"/>
    </row>
    <row r="11" spans="1:7" ht="27" customHeight="1" x14ac:dyDescent="0.2">
      <c r="A11" s="34"/>
      <c r="B11" s="37" t="s">
        <v>31</v>
      </c>
      <c r="C11" s="39" t="s">
        <v>13</v>
      </c>
      <c r="D11" s="40" t="s">
        <v>47</v>
      </c>
      <c r="E11" s="105"/>
      <c r="F11" s="163"/>
    </row>
    <row r="12" spans="1:7" ht="18" customHeight="1" x14ac:dyDescent="0.2">
      <c r="A12" s="327" t="s">
        <v>24</v>
      </c>
      <c r="B12" s="142" t="s">
        <v>37</v>
      </c>
      <c r="C12" s="233">
        <v>5</v>
      </c>
      <c r="D12" s="233">
        <v>4</v>
      </c>
      <c r="E12" s="106">
        <f>IF(AND(C12="",D12=""),"",IF(OR(D12&gt;5,D12&lt;0),"#####",IF(ISBLANK(C12),0,IF(OR(C12&gt;6,C12&lt;1),"#####",C12*D12))))</f>
        <v>20</v>
      </c>
      <c r="F12" s="163" t="str">
        <f>IF(E12="#####","Fehler!",IF(AND(C12&lt;&gt;"",D12=""),"zuerst Gewicht eingeben",""))</f>
        <v/>
      </c>
    </row>
    <row r="13" spans="1:7" ht="18" customHeight="1" x14ac:dyDescent="0.2">
      <c r="A13" s="328"/>
      <c r="B13" s="142" t="s">
        <v>17</v>
      </c>
      <c r="C13" s="233">
        <v>5.2</v>
      </c>
      <c r="D13" s="233">
        <v>5</v>
      </c>
      <c r="E13" s="106">
        <f t="shared" ref="E13:E23" si="0">IF(AND(C13="",D13=""),"",IF(OR(D13&gt;5,D13&lt;0),"#####",IF(ISBLANK(C13),0,IF(OR(C13&gt;6,C13&lt;1),"#####",C13*D13))))</f>
        <v>26</v>
      </c>
      <c r="F13" s="163" t="str">
        <f t="shared" ref="F13:F23" si="1">IF(E13="#####","Fehler!",IF(AND(C13&lt;&gt;"",D13=""),"zuerst Gewicht eingeben",""))</f>
        <v/>
      </c>
      <c r="G13" s="33"/>
    </row>
    <row r="14" spans="1:7" ht="18" customHeight="1" x14ac:dyDescent="0.2">
      <c r="A14" s="328"/>
      <c r="B14" s="142" t="s">
        <v>38</v>
      </c>
      <c r="C14" s="233">
        <v>4.4000000000000004</v>
      </c>
      <c r="D14" s="233">
        <v>2.5</v>
      </c>
      <c r="E14" s="106">
        <f t="shared" si="0"/>
        <v>11</v>
      </c>
      <c r="F14" s="163" t="str">
        <f t="shared" si="1"/>
        <v/>
      </c>
    </row>
    <row r="15" spans="1:7" ht="18" customHeight="1" x14ac:dyDescent="0.2">
      <c r="A15" s="328"/>
      <c r="B15" s="142" t="s">
        <v>39</v>
      </c>
      <c r="C15" s="233">
        <v>5</v>
      </c>
      <c r="D15" s="233">
        <v>3</v>
      </c>
      <c r="E15" s="106">
        <f t="shared" si="0"/>
        <v>15</v>
      </c>
      <c r="F15" s="163" t="str">
        <f t="shared" si="1"/>
        <v/>
      </c>
    </row>
    <row r="16" spans="1:7" ht="18" customHeight="1" x14ac:dyDescent="0.2">
      <c r="A16" s="328"/>
      <c r="B16" s="142" t="s">
        <v>40</v>
      </c>
      <c r="C16" s="233">
        <v>4.5</v>
      </c>
      <c r="D16" s="233">
        <v>2.5</v>
      </c>
      <c r="E16" s="106">
        <f t="shared" si="0"/>
        <v>11.25</v>
      </c>
      <c r="F16" s="163" t="str">
        <f t="shared" si="1"/>
        <v/>
      </c>
    </row>
    <row r="17" spans="1:7" ht="18" customHeight="1" x14ac:dyDescent="0.2">
      <c r="A17" s="328"/>
      <c r="B17" s="142" t="s">
        <v>41</v>
      </c>
      <c r="C17" s="234">
        <v>4</v>
      </c>
      <c r="D17" s="234">
        <v>1</v>
      </c>
      <c r="E17" s="106">
        <f t="shared" si="0"/>
        <v>4</v>
      </c>
      <c r="F17" s="163" t="str">
        <f t="shared" si="1"/>
        <v/>
      </c>
      <c r="G17" s="11"/>
    </row>
    <row r="18" spans="1:7" ht="18" customHeight="1" x14ac:dyDescent="0.2">
      <c r="A18" s="329"/>
      <c r="B18" s="236" t="s">
        <v>97</v>
      </c>
      <c r="C18" s="235">
        <v>3</v>
      </c>
      <c r="D18" s="235">
        <v>2.5</v>
      </c>
      <c r="E18" s="106">
        <f t="shared" si="0"/>
        <v>7.5</v>
      </c>
      <c r="F18" s="163" t="str">
        <f t="shared" si="1"/>
        <v/>
      </c>
      <c r="G18" s="11"/>
    </row>
    <row r="19" spans="1:7" ht="23.25" customHeight="1" x14ac:dyDescent="0.2">
      <c r="A19" s="34"/>
      <c r="B19" s="37" t="s">
        <v>31</v>
      </c>
      <c r="C19" s="60"/>
      <c r="D19" s="60"/>
      <c r="E19" s="106"/>
      <c r="F19" s="163"/>
    </row>
    <row r="20" spans="1:7" ht="18" customHeight="1" x14ac:dyDescent="0.2">
      <c r="A20" s="327" t="s">
        <v>25</v>
      </c>
      <c r="B20" s="142" t="s">
        <v>42</v>
      </c>
      <c r="C20" s="237">
        <v>4.5</v>
      </c>
      <c r="D20" s="237">
        <v>4</v>
      </c>
      <c r="E20" s="106">
        <f t="shared" si="0"/>
        <v>18</v>
      </c>
      <c r="F20" s="163" t="str">
        <f t="shared" si="1"/>
        <v/>
      </c>
    </row>
    <row r="21" spans="1:7" ht="18" customHeight="1" x14ac:dyDescent="0.2">
      <c r="A21" s="328"/>
      <c r="B21" s="142" t="s">
        <v>43</v>
      </c>
      <c r="C21" s="237">
        <v>6</v>
      </c>
      <c r="D21" s="237">
        <v>3</v>
      </c>
      <c r="E21" s="106">
        <f t="shared" si="0"/>
        <v>18</v>
      </c>
      <c r="F21" s="163" t="str">
        <f t="shared" si="1"/>
        <v/>
      </c>
    </row>
    <row r="22" spans="1:7" ht="18" customHeight="1" x14ac:dyDescent="0.2">
      <c r="A22" s="328"/>
      <c r="B22" s="142" t="s">
        <v>22</v>
      </c>
      <c r="C22" s="237">
        <v>4</v>
      </c>
      <c r="D22" s="237">
        <v>2.5</v>
      </c>
      <c r="E22" s="106">
        <f t="shared" si="0"/>
        <v>10</v>
      </c>
      <c r="F22" s="163" t="str">
        <f t="shared" si="1"/>
        <v/>
      </c>
    </row>
    <row r="23" spans="1:7" ht="18" customHeight="1" x14ac:dyDescent="0.2">
      <c r="A23" s="329"/>
      <c r="B23" s="236" t="s">
        <v>96</v>
      </c>
      <c r="C23" s="237">
        <v>4.5</v>
      </c>
      <c r="D23" s="237">
        <v>2.5</v>
      </c>
      <c r="E23" s="134">
        <f t="shared" si="0"/>
        <v>11.25</v>
      </c>
      <c r="F23" s="163" t="str">
        <f t="shared" si="1"/>
        <v/>
      </c>
    </row>
    <row r="24" spans="1:7" ht="24" customHeight="1" x14ac:dyDescent="0.2">
      <c r="A24" s="34"/>
      <c r="B24" s="35"/>
      <c r="C24" s="35"/>
      <c r="D24" s="35"/>
      <c r="E24" s="35"/>
      <c r="F24" s="164"/>
    </row>
    <row r="25" spans="1:7" s="51" customFormat="1" ht="15" customHeight="1" x14ac:dyDescent="0.2">
      <c r="A25" s="41"/>
      <c r="B25" s="42" t="s">
        <v>48</v>
      </c>
      <c r="C25" s="43">
        <f>(SUMIF(C$12:C$18,"&gt;=0",D$12:D$18)+SUMIF(C$20:C$23,"&gt;=0",D$20:D$23))*6</f>
        <v>195</v>
      </c>
      <c r="D25" s="59"/>
      <c r="E25" s="107"/>
      <c r="F25" s="165"/>
    </row>
    <row r="26" spans="1:7" s="51" customFormat="1" ht="15" customHeight="1" x14ac:dyDescent="0.2">
      <c r="A26" s="41"/>
      <c r="B26" s="42" t="s">
        <v>49</v>
      </c>
      <c r="C26" s="43">
        <f>(SUMIF(C$12:C$18,"&gt;=0",D$12:D$18)*1+SUMIF(C$20:C$23,"&gt;=0",D$20:D$23))*1</f>
        <v>32.5</v>
      </c>
      <c r="D26" s="42" t="s">
        <v>51</v>
      </c>
      <c r="E26" s="108">
        <f>SUM(E12:E18,E20:E23)</f>
        <v>152</v>
      </c>
      <c r="F26" s="166"/>
    </row>
    <row r="27" spans="1:7" ht="24.75" customHeight="1" x14ac:dyDescent="0.25">
      <c r="A27" s="44"/>
      <c r="B27" s="35"/>
      <c r="C27" s="35"/>
      <c r="D27" s="35"/>
      <c r="E27" s="35"/>
      <c r="F27" s="163"/>
    </row>
    <row r="28" spans="1:7" ht="24" customHeight="1" x14ac:dyDescent="0.3">
      <c r="A28" s="34"/>
      <c r="B28" s="326" t="s">
        <v>53</v>
      </c>
      <c r="C28" s="326"/>
      <c r="D28" s="326"/>
      <c r="E28" s="109">
        <f>IF(C26=0,0,E26/C26)</f>
        <v>4.6769230769230772</v>
      </c>
      <c r="F28" s="163"/>
    </row>
    <row r="29" spans="1:7" ht="24" customHeight="1" x14ac:dyDescent="0.3">
      <c r="A29" s="34"/>
      <c r="B29" s="47"/>
      <c r="C29" s="48"/>
      <c r="D29" s="48"/>
      <c r="E29" s="110"/>
      <c r="F29" s="163"/>
    </row>
    <row r="30" spans="1:7" ht="28.5" x14ac:dyDescent="0.3">
      <c r="A30" s="34"/>
      <c r="B30" s="35"/>
      <c r="C30" s="36" t="s">
        <v>62</v>
      </c>
      <c r="D30" s="36" t="s">
        <v>63</v>
      </c>
      <c r="E30" s="109"/>
      <c r="F30" s="163"/>
    </row>
    <row r="31" spans="1:7" ht="13.5" customHeight="1" x14ac:dyDescent="0.2">
      <c r="A31" s="34"/>
      <c r="B31" s="35"/>
      <c r="C31" s="38" t="s">
        <v>10</v>
      </c>
      <c r="D31" s="38" t="s">
        <v>11</v>
      </c>
      <c r="E31" s="104" t="s">
        <v>12</v>
      </c>
      <c r="F31" s="163"/>
    </row>
    <row r="32" spans="1:7" ht="25.5" x14ac:dyDescent="0.2">
      <c r="A32" s="34"/>
      <c r="B32" s="37" t="s">
        <v>31</v>
      </c>
      <c r="C32" s="39" t="s">
        <v>13</v>
      </c>
      <c r="D32" s="40" t="s">
        <v>47</v>
      </c>
      <c r="E32" s="105"/>
      <c r="F32" s="163"/>
    </row>
    <row r="33" spans="1:6" ht="18" customHeight="1" x14ac:dyDescent="0.2">
      <c r="A33" s="327" t="s">
        <v>26</v>
      </c>
      <c r="B33" s="142" t="s">
        <v>44</v>
      </c>
      <c r="C33" s="237">
        <v>4</v>
      </c>
      <c r="D33" s="237">
        <v>5</v>
      </c>
      <c r="E33" s="134">
        <f>IF(AND(C33="",D33=""),"",IF(OR(D33&gt;5,D33&lt;0),"#####",IF(ISBLANK(C33),0,IF(OR(C33&gt;6,C33&lt;1),"#####",C33*D33))))</f>
        <v>20</v>
      </c>
      <c r="F33" s="163" t="str">
        <f>IF(E33="#####","Fehler!",IF(AND(C33&lt;&gt;"",D33=""),"zuerst Gewicht eingeben",""))</f>
        <v/>
      </c>
    </row>
    <row r="34" spans="1:6" ht="18" customHeight="1" x14ac:dyDescent="0.2">
      <c r="A34" s="328"/>
      <c r="B34" s="142" t="s">
        <v>89</v>
      </c>
      <c r="C34" s="237">
        <v>4</v>
      </c>
      <c r="D34" s="237">
        <v>4</v>
      </c>
      <c r="E34" s="134">
        <f>IF(AND(C34="",D34=""),"",IF(OR(D34&gt;5,D34&lt;0),"#####",IF(ISBLANK(C34),0,IF(OR(C34&gt;6,C34&lt;1),"#####",C34*D34))))</f>
        <v>16</v>
      </c>
      <c r="F34" s="163" t="str">
        <f>IF(E34="#####","Fehler!",IF(AND(C34&lt;&gt;"",D34=""),"zuerst Gewicht eingeben",""))</f>
        <v/>
      </c>
    </row>
    <row r="35" spans="1:6" ht="18" customHeight="1" x14ac:dyDescent="0.2">
      <c r="A35" s="328"/>
      <c r="B35" s="142" t="s">
        <v>45</v>
      </c>
      <c r="C35" s="237">
        <v>3</v>
      </c>
      <c r="D35" s="237">
        <v>2.5</v>
      </c>
      <c r="E35" s="134">
        <f>IF(AND(C35="",D35=""),"",IF(OR(D35&gt;5,D35&lt;0),"#####",IF(ISBLANK(C35),0,IF(OR(C35&gt;6,C35&lt;1),"#####",C35*D35))))</f>
        <v>7.5</v>
      </c>
      <c r="F35" s="163" t="str">
        <f>IF(E35="#####","Fehler!",IF(AND(C35&lt;&gt;"",D35=""),"zuerst Gewicht eingeben",""))</f>
        <v/>
      </c>
    </row>
    <row r="36" spans="1:6" ht="18" customHeight="1" x14ac:dyDescent="0.2">
      <c r="A36" s="329"/>
      <c r="B36" s="236"/>
      <c r="C36" s="237"/>
      <c r="D36" s="237"/>
      <c r="E36" s="134" t="str">
        <f>IF(AND(C36="",D36=""),"",IF(OR(D36&gt;5,D36&lt;0),"#####",IF(ISBLANK(C36),0,IF(OR(C36&gt;6,C36&lt;1),"#####",C36*D36))))</f>
        <v/>
      </c>
      <c r="F36" s="163" t="str">
        <f>IF(E36="#####","Fehler!",IF(AND(C36&lt;&gt;"",D36=""),"zuerst Gewicht eingeben",""))</f>
        <v/>
      </c>
    </row>
    <row r="37" spans="1:6" ht="23.25" customHeight="1" x14ac:dyDescent="0.2">
      <c r="A37" s="34"/>
      <c r="B37" s="35"/>
      <c r="C37" s="35"/>
      <c r="D37" s="35"/>
      <c r="E37" s="35"/>
      <c r="F37" s="164"/>
    </row>
    <row r="38" spans="1:6" s="3" customFormat="1" ht="15" customHeight="1" x14ac:dyDescent="0.2">
      <c r="A38" s="49"/>
      <c r="B38" s="42" t="s">
        <v>48</v>
      </c>
      <c r="C38" s="43">
        <f>SUMIF(C$33:C$36,"&gt;=0",D$33:D$36)*6</f>
        <v>69</v>
      </c>
      <c r="D38" s="45"/>
      <c r="E38" s="45"/>
      <c r="F38" s="165"/>
    </row>
    <row r="39" spans="1:6" ht="15" customHeight="1" x14ac:dyDescent="0.2">
      <c r="A39" s="34"/>
      <c r="B39" s="42" t="s">
        <v>49</v>
      </c>
      <c r="C39" s="43">
        <f>SUMIF(C$33:C$36,"&gt;=0",D$33:D$36)*1</f>
        <v>11.5</v>
      </c>
      <c r="D39" s="50" t="s">
        <v>51</v>
      </c>
      <c r="E39" s="111">
        <f>SUM(E33:E36)</f>
        <v>43.5</v>
      </c>
      <c r="F39" s="163"/>
    </row>
    <row r="40" spans="1:6" ht="24.75" customHeight="1" x14ac:dyDescent="0.2">
      <c r="A40" s="34"/>
      <c r="B40" s="35"/>
      <c r="C40" s="35"/>
      <c r="D40" s="35"/>
      <c r="E40" s="35"/>
      <c r="F40" s="163"/>
    </row>
    <row r="41" spans="1:6" ht="24" customHeight="1" thickBot="1" x14ac:dyDescent="0.35">
      <c r="A41" s="46"/>
      <c r="B41" s="325" t="s">
        <v>55</v>
      </c>
      <c r="C41" s="325"/>
      <c r="D41" s="325"/>
      <c r="E41" s="112">
        <f>IF(C39=0,0,E39/C39)</f>
        <v>3.7826086956521738</v>
      </c>
      <c r="F41" s="167"/>
    </row>
  </sheetData>
  <sheetProtection password="D1C2" sheet="1" objects="1" scenarios="1"/>
  <mergeCells count="8">
    <mergeCell ref="A8:F8"/>
    <mergeCell ref="B4:D4"/>
    <mergeCell ref="B6:D6"/>
    <mergeCell ref="B41:D41"/>
    <mergeCell ref="B28:D28"/>
    <mergeCell ref="A12:A18"/>
    <mergeCell ref="A20:A23"/>
    <mergeCell ref="A33:A36"/>
  </mergeCells>
  <phoneticPr fontId="2" type="noConversion"/>
  <conditionalFormatting sqref="E28 E41">
    <cfRule type="cellIs" dxfId="10" priority="15" stopIfTrue="1" operator="equal">
      <formula>0</formula>
    </cfRule>
  </conditionalFormatting>
  <conditionalFormatting sqref="C25">
    <cfRule type="cellIs" dxfId="9" priority="12" operator="equal">
      <formula>0</formula>
    </cfRule>
  </conditionalFormatting>
  <conditionalFormatting sqref="C26">
    <cfRule type="cellIs" dxfId="8" priority="11" operator="equal">
      <formula>0</formula>
    </cfRule>
  </conditionalFormatting>
  <conditionalFormatting sqref="E26">
    <cfRule type="cellIs" dxfId="7" priority="10" operator="equal">
      <formula>0</formula>
    </cfRule>
  </conditionalFormatting>
  <conditionalFormatting sqref="C38">
    <cfRule type="cellIs" dxfId="6" priority="9" operator="equal">
      <formula>0</formula>
    </cfRule>
  </conditionalFormatting>
  <conditionalFormatting sqref="C39">
    <cfRule type="cellIs" dxfId="5" priority="8" operator="equal">
      <formula>0</formula>
    </cfRule>
  </conditionalFormatting>
  <conditionalFormatting sqref="E39">
    <cfRule type="cellIs" dxfId="4" priority="7" operator="equal">
      <formula>0</formula>
    </cfRule>
  </conditionalFormatting>
  <conditionalFormatting sqref="F12">
    <cfRule type="expression" dxfId="3" priority="5" stopIfTrue="1">
      <formula>F12="zuerst Gewicht eingeben"</formula>
    </cfRule>
  </conditionalFormatting>
  <conditionalFormatting sqref="F13:F18">
    <cfRule type="expression" dxfId="2" priority="3" stopIfTrue="1">
      <formula>F13="zuerst Gewicht eingeben"</formula>
    </cfRule>
  </conditionalFormatting>
  <conditionalFormatting sqref="F20:F23">
    <cfRule type="expression" dxfId="1" priority="2" stopIfTrue="1">
      <formula>F20="zuerst Gewicht eingeben"</formula>
    </cfRule>
  </conditionalFormatting>
  <conditionalFormatting sqref="F33:F36">
    <cfRule type="expression" dxfId="0" priority="1" stopIfTrue="1">
      <formula>F33="zuerst Gewicht eingeben"</formula>
    </cfRule>
  </conditionalFormatting>
  <pageMargins left="0.75" right="0.64" top="0.7" bottom="0.49" header="0.4921259845" footer="0.4921259845"/>
  <pageSetup paperSize="9" scale="70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Zusammenzug</vt:lpstr>
      <vt:lpstr>Arbeitsprozess</vt:lpstr>
      <vt:lpstr>Dokumentation und Produktion</vt:lpstr>
      <vt:lpstr>Präsentation</vt:lpstr>
      <vt:lpstr>Arbeitsprozess!Druckbereich</vt:lpstr>
      <vt:lpstr>'Dokumentation und Produktion'!Druckbereich</vt:lpstr>
      <vt:lpstr>Präsentation!Druckbereich</vt:lpstr>
      <vt:lpstr>Zusammenzug!Druckbereich</vt:lpstr>
      <vt:lpstr>'Dokumentation und Produktion'!Drucktitel</vt:lpstr>
    </vt:vector>
  </TitlesOfParts>
  <Company>Kantonsschule Willisau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Erni</dc:creator>
  <cp:lastModifiedBy>Schilliger Elmar</cp:lastModifiedBy>
  <cp:lastPrinted>2010-06-15T17:56:18Z</cp:lastPrinted>
  <dcterms:created xsi:type="dcterms:W3CDTF">2010-01-12T15:07:12Z</dcterms:created>
  <dcterms:modified xsi:type="dcterms:W3CDTF">2012-09-14T10:20:38Z</dcterms:modified>
</cp:coreProperties>
</file>